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culator" sheetId="1" state="visible" r:id="rId1"/>
    <sheet xmlns:r="http://schemas.openxmlformats.org/officeDocument/2006/relationships" name="Amortization Schedu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"/>
    <numFmt numFmtId="165" formatCode="0.0%"/>
    <numFmt numFmtId="166" formatCode="0.000%"/>
    <numFmt numFmtId="167" formatCode="$#,##0.00"/>
  </numFmts>
  <fonts count="19">
    <font>
      <name val="Calibri"/>
      <family val="2"/>
      <color theme="1"/>
      <sz val="11"/>
      <scheme val="minor"/>
    </font>
    <font>
      <name val="Georgia"/>
      <b val="1"/>
      <color rgb="00B89968"/>
      <sz val="22"/>
    </font>
    <font>
      <name val="Georgia"/>
      <b val="1"/>
      <color rgb="00B89968"/>
      <sz val="12"/>
    </font>
    <font>
      <name val="Georgia"/>
      <i val="1"/>
      <color rgb="00888888"/>
      <sz val="11"/>
    </font>
    <font>
      <name val="Georgia"/>
      <b val="1"/>
      <color rgb="00FFFFFF"/>
      <sz val="13"/>
    </font>
    <font>
      <name val="Georgia"/>
      <color rgb="002C2C2C"/>
      <sz val="11"/>
    </font>
    <font>
      <name val="Georgia"/>
      <b val="1"/>
      <color rgb="000000FF"/>
      <sz val="12"/>
    </font>
    <font>
      <name val="Georgia"/>
      <i val="1"/>
      <color rgb="00888888"/>
      <sz val="10"/>
    </font>
    <font>
      <name val="Georgia"/>
      <b val="1"/>
      <color rgb="002C2C2C"/>
      <sz val="12"/>
    </font>
    <font>
      <name val="Georgia"/>
      <b val="1"/>
      <color rgb="002C2C2C"/>
      <sz val="11"/>
    </font>
    <font>
      <name val="Georgia"/>
      <color rgb="002C2C2C"/>
      <sz val="12"/>
    </font>
    <font>
      <name val="Georgia"/>
      <b val="1"/>
      <color rgb="00B89968"/>
      <sz val="13"/>
    </font>
    <font>
      <name val="Georgia"/>
      <b val="1"/>
      <color rgb="00B89968"/>
      <sz val="18"/>
    </font>
    <font>
      <name val="Georgia"/>
      <color rgb="002C2C2C"/>
      <sz val="10"/>
    </font>
    <font>
      <name val="Georgia"/>
      <i val="1"/>
      <color rgb="00999999"/>
      <sz val="9"/>
    </font>
    <font>
      <name val="Georgia"/>
      <b val="1"/>
      <color rgb="00B89968"/>
      <sz val="11"/>
    </font>
    <font>
      <name val="Georgia"/>
      <i val="1"/>
      <color rgb="00999999"/>
      <sz val="10"/>
    </font>
    <font>
      <name val="Georgia"/>
      <color rgb="00008000"/>
      <sz val="10"/>
    </font>
    <font>
      <name val="Georgia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F5F2EF"/>
        <bgColor rgb="00F5F2EF"/>
      </patternFill>
    </fill>
    <fill>
      <patternFill patternType="solid">
        <fgColor rgb="00B89968"/>
        <bgColor rgb="00B89968"/>
      </patternFill>
    </fill>
    <fill>
      <patternFill patternType="solid">
        <fgColor rgb="00FFF8E1"/>
        <bgColor rgb="00FFF8E1"/>
      </patternFill>
    </fill>
    <fill>
      <patternFill patternType="solid">
        <fgColor rgb="00F9F6F2"/>
        <bgColor rgb="00F9F6F2"/>
      </patternFill>
    </fill>
  </fills>
  <borders count="5">
    <border>
      <left/>
      <right/>
      <top/>
      <bottom/>
      <diagonal/>
    </border>
    <border>
      <left style="thin">
        <color rgb="00B89968"/>
      </left>
      <right style="thin">
        <color rgb="00B89968"/>
      </right>
      <top style="thin">
        <color rgb="00B89968"/>
      </top>
      <bottom style="thin">
        <color rgb="00B89968"/>
      </bottom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  <border>
      <top style="medium">
        <color rgb="00B89968"/>
      </top>
    </border>
    <border>
      <top style="medium">
        <color rgb="00B89968"/>
      </top>
      <bottom style="double">
        <color rgb="00B89968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2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0" fillId="3" borderId="0" pivotButton="0" quotePrefix="0" xfId="0"/>
    <xf numFmtId="0" fontId="4" fillId="3" borderId="0" applyAlignment="1" pivotButton="0" quotePrefix="0" xfId="0">
      <alignment horizontal="center" vertical="center"/>
    </xf>
    <xf numFmtId="0" fontId="5" fillId="2" borderId="0" pivotButton="0" quotePrefix="0" xfId="0"/>
    <xf numFmtId="164" fontId="6" fillId="4" borderId="1" applyAlignment="1" pivotButton="0" quotePrefix="0" xfId="0">
      <alignment horizontal="center" vertical="center"/>
    </xf>
    <xf numFmtId="167" fontId="10" fillId="2" borderId="2" applyAlignment="1" pivotButton="0" quotePrefix="0" xfId="0">
      <alignment horizontal="center" vertical="center"/>
    </xf>
    <xf numFmtId="0" fontId="7" fillId="2" borderId="0" pivotButton="0" quotePrefix="0" xfId="0"/>
    <xf numFmtId="165" fontId="8" fillId="2" borderId="1" applyAlignment="1" pivotButton="0" quotePrefix="0" xfId="0">
      <alignment horizontal="center" vertical="center"/>
    </xf>
    <xf numFmtId="0" fontId="9" fillId="2" borderId="0" pivotButton="0" quotePrefix="0" xfId="0"/>
    <xf numFmtId="164" fontId="8" fillId="2" borderId="1" applyAlignment="1" pivotButton="0" quotePrefix="0" xfId="0">
      <alignment horizontal="center" vertical="center"/>
    </xf>
    <xf numFmtId="0" fontId="0" fillId="2" borderId="3" pivotButton="0" quotePrefix="0" xfId="0"/>
    <xf numFmtId="166" fontId="6" fillId="4" borderId="1" applyAlignment="1" pivotButton="0" quotePrefix="0" xfId="0">
      <alignment horizontal="center" vertical="center"/>
    </xf>
    <xf numFmtId="0" fontId="11" fillId="2" borderId="0" pivotButton="0" quotePrefix="0" xfId="0"/>
    <xf numFmtId="167" fontId="12" fillId="2" borderId="4" applyAlignment="1" pivotButton="0" quotePrefix="0" xfId="0">
      <alignment horizontal="center" vertical="center"/>
    </xf>
    <xf numFmtId="1" fontId="6" fillId="4" borderId="1" applyAlignment="1" pivotButton="0" quotePrefix="0" xfId="0">
      <alignment horizontal="center" vertical="center"/>
    </xf>
    <xf numFmtId="164" fontId="8" fillId="2" borderId="0" applyAlignment="1" pivotButton="0" quotePrefix="0" xfId="0">
      <alignment horizontal="center" vertical="center"/>
    </xf>
    <xf numFmtId="0" fontId="13" fillId="2" borderId="0" applyAlignment="1" pivotButton="0" quotePrefix="0" xfId="0">
      <alignment horizontal="left" vertical="center" wrapText="1"/>
    </xf>
    <xf numFmtId="0" fontId="14" fillId="2" borderId="0" applyAlignment="1" pivotButton="0" quotePrefix="0" xfId="0">
      <alignment horizontal="left" vertical="center" wrapText="1"/>
    </xf>
    <xf numFmtId="0" fontId="15" fillId="2" borderId="0" applyAlignment="1" pivotButton="0" quotePrefix="0" xfId="0">
      <alignment horizontal="center" vertical="center"/>
    </xf>
    <xf numFmtId="0" fontId="16" fillId="2" borderId="0" applyAlignment="1" pivotButton="0" quotePrefix="0" xfId="0">
      <alignment horizontal="center" vertical="center"/>
    </xf>
    <xf numFmtId="0" fontId="12" fillId="0" borderId="0" pivotButton="0" quotePrefix="0" xfId="0"/>
    <xf numFmtId="0" fontId="7" fillId="0" borderId="0" pivotButton="0" quotePrefix="0" xfId="0"/>
    <xf numFmtId="0" fontId="9" fillId="0" borderId="0" pivotButton="0" quotePrefix="0" xfId="0"/>
    <xf numFmtId="164" fontId="17" fillId="0" borderId="0" pivotButton="0" quotePrefix="0" xfId="0"/>
    <xf numFmtId="166" fontId="17" fillId="0" borderId="0" pivotButton="0" quotePrefix="0" xfId="0"/>
    <xf numFmtId="0" fontId="17" fillId="0" borderId="0" pivotButton="0" quotePrefix="0" xfId="0"/>
    <xf numFmtId="0" fontId="18" fillId="3" borderId="2" applyAlignment="1" pivotButton="0" quotePrefix="0" xfId="0">
      <alignment horizontal="center" vertical="center"/>
    </xf>
    <xf numFmtId="0" fontId="13" fillId="0" borderId="2" applyAlignment="1" pivotButton="0" quotePrefix="0" xfId="0">
      <alignment horizontal="center" vertical="center"/>
    </xf>
    <xf numFmtId="167" fontId="13" fillId="0" borderId="2" applyAlignment="1" pivotButton="0" quotePrefix="0" xfId="0">
      <alignment horizontal="center" vertical="center"/>
    </xf>
    <xf numFmtId="0" fontId="13" fillId="5" borderId="2" applyAlignment="1" pivotButton="0" quotePrefix="0" xfId="0">
      <alignment horizontal="center" vertical="center"/>
    </xf>
    <xf numFmtId="167" fontId="13" fillId="5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B89968"/>
    <outlinePr summaryBelow="1" summaryRight="1"/>
    <pageSetUpPr/>
  </sheetPr>
  <dimension ref="A1:G4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22" customWidth="1" min="3" max="3"/>
    <col width="5" customWidth="1" min="4" max="4"/>
    <col width="28" customWidth="1" min="5" max="5"/>
    <col width="22" customWidth="1" min="6" max="6"/>
    <col width="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</row>
    <row r="2">
      <c r="A2" s="1" t="n"/>
      <c r="B2" s="2" t="inlineStr">
        <is>
          <t>Monthly Mortgage Payment Calculator</t>
        </is>
      </c>
      <c r="G2" s="1" t="n"/>
    </row>
    <row r="3">
      <c r="A3" s="1" t="n"/>
      <c r="B3" s="3" t="inlineStr">
        <is>
          <t>ChristinaCutolo.com</t>
        </is>
      </c>
      <c r="G3" s="1" t="n"/>
    </row>
    <row r="4">
      <c r="A4" s="1" t="n"/>
      <c r="B4" s="4" t="inlineStr">
        <is>
          <t>Mortgage Pro  •  Investor  •  Lifestyle Curator</t>
        </is>
      </c>
      <c r="G4" s="1" t="n"/>
    </row>
    <row r="5" ht="4" customHeight="1">
      <c r="A5" s="1" t="n"/>
      <c r="B5" s="5" t="n"/>
      <c r="C5" s="5" t="n"/>
      <c r="D5" s="5" t="n"/>
      <c r="E5" s="5" t="n"/>
      <c r="F5" s="5" t="n"/>
      <c r="G5" s="1" t="n"/>
    </row>
    <row r="6">
      <c r="A6" s="1" t="n"/>
      <c r="B6" s="1" t="n"/>
      <c r="C6" s="1" t="n"/>
      <c r="D6" s="1" t="n"/>
      <c r="E6" s="1" t="n"/>
      <c r="F6" s="1" t="n"/>
      <c r="G6" s="1" t="n"/>
    </row>
    <row r="7">
      <c r="A7" s="1" t="n"/>
      <c r="B7" s="6" t="inlineStr">
        <is>
          <t>LOAN DETAILS</t>
        </is>
      </c>
      <c r="C7" s="5" t="n"/>
      <c r="D7" s="1" t="n"/>
      <c r="E7" s="6" t="inlineStr">
        <is>
          <t>YOUR MONTHLY PAYMENT</t>
        </is>
      </c>
      <c r="F7" s="5" t="n"/>
      <c r="G7" s="1" t="n"/>
    </row>
    <row r="8">
      <c r="A8" s="1" t="n"/>
      <c r="B8" s="1" t="n"/>
      <c r="C8" s="1" t="n"/>
      <c r="D8" s="1" t="n"/>
      <c r="E8" s="1" t="n"/>
      <c r="F8" s="1" t="n"/>
      <c r="G8" s="1" t="n"/>
    </row>
    <row r="9">
      <c r="A9" s="1" t="n"/>
      <c r="B9" s="7" t="inlineStr">
        <is>
          <t>Home Purchase Price</t>
        </is>
      </c>
      <c r="C9" s="8" t="n">
        <v>350000</v>
      </c>
      <c r="D9" s="1" t="n"/>
      <c r="E9" s="7" t="inlineStr">
        <is>
          <t>Principal &amp; Interest</t>
        </is>
      </c>
      <c r="F9" s="9">
        <f>IF(C15=0,C13/C16/12,PMT(C15/12,C16*12,-C13))</f>
        <v/>
      </c>
      <c r="G9" s="1" t="n"/>
    </row>
    <row r="10">
      <c r="A10" s="1" t="n"/>
      <c r="B10" s="7" t="inlineStr">
        <is>
          <t>Down Payment Amount</t>
        </is>
      </c>
      <c r="C10" s="8" t="n">
        <v>70000</v>
      </c>
      <c r="D10" s="1" t="n"/>
      <c r="E10" s="7" t="inlineStr">
        <is>
          <t>Property Taxes</t>
        </is>
      </c>
      <c r="F10" s="9">
        <f>C18/12</f>
        <v/>
      </c>
      <c r="G10" s="1" t="n"/>
    </row>
    <row r="11">
      <c r="A11" s="1" t="n"/>
      <c r="B11" s="10" t="inlineStr">
        <is>
          <t>Down Payment Percentage</t>
        </is>
      </c>
      <c r="C11" s="11">
        <f>IF(C9=0,0,C10/C9)</f>
        <v/>
      </c>
      <c r="D11" s="1" t="n"/>
      <c r="E11" s="7" t="inlineStr">
        <is>
          <t>Homeowner's Insurance</t>
        </is>
      </c>
      <c r="F11" s="9">
        <f>C19/12</f>
        <v/>
      </c>
      <c r="G11" s="1" t="n"/>
    </row>
    <row r="12">
      <c r="A12" s="1" t="n"/>
      <c r="B12" s="1" t="n"/>
      <c r="C12" s="1" t="n"/>
      <c r="D12" s="1" t="n"/>
      <c r="E12" s="7" t="inlineStr">
        <is>
          <t>PMI</t>
        </is>
      </c>
      <c r="F12" s="9">
        <f>C20</f>
        <v/>
      </c>
      <c r="G12" s="1" t="n"/>
    </row>
    <row r="13">
      <c r="A13" s="1" t="n"/>
      <c r="B13" s="12" t="inlineStr">
        <is>
          <t>Loan Amount</t>
        </is>
      </c>
      <c r="C13" s="13">
        <f>C9-C10</f>
        <v/>
      </c>
      <c r="D13" s="1" t="n"/>
      <c r="E13" s="7" t="inlineStr">
        <is>
          <t>HOA Dues</t>
        </is>
      </c>
      <c r="F13" s="9">
        <f>C21</f>
        <v/>
      </c>
      <c r="G13" s="1" t="n"/>
    </row>
    <row r="14">
      <c r="A14" s="1" t="n"/>
      <c r="B14" s="1" t="n"/>
      <c r="C14" s="1" t="n"/>
      <c r="D14" s="1" t="n"/>
      <c r="E14" s="14" t="n"/>
      <c r="F14" s="14" t="n"/>
      <c r="G14" s="1" t="n"/>
    </row>
    <row r="15">
      <c r="A15" s="1" t="n"/>
      <c r="B15" s="7" t="inlineStr">
        <is>
          <t>Interest Rate (Annual)</t>
        </is>
      </c>
      <c r="C15" s="15" t="n">
        <v>0.065</v>
      </c>
      <c r="D15" s="1" t="n"/>
      <c r="E15" s="16" t="inlineStr">
        <is>
          <t>TOTAL MONTHLY PAYMENT</t>
        </is>
      </c>
      <c r="F15" s="17">
        <f>F9+F10+F11+F12+F13</f>
        <v/>
      </c>
      <c r="G15" s="1" t="n"/>
    </row>
    <row r="16">
      <c r="A16" s="1" t="n"/>
      <c r="B16" s="7" t="inlineStr">
        <is>
          <t>Loan Term (Years)</t>
        </is>
      </c>
      <c r="C16" s="18" t="n">
        <v>30</v>
      </c>
      <c r="D16" s="1" t="n"/>
      <c r="E16" s="1" t="n"/>
      <c r="F16" s="1" t="n"/>
      <c r="G16" s="1" t="n"/>
    </row>
    <row r="17">
      <c r="A17" s="1" t="n"/>
      <c r="B17" s="1" t="n"/>
      <c r="C17" s="1" t="n"/>
      <c r="D17" s="1" t="n"/>
      <c r="E17" s="7" t="inlineStr">
        <is>
          <t>Total Annual Payment</t>
        </is>
      </c>
      <c r="F17" s="19">
        <f>F15*12</f>
        <v/>
      </c>
      <c r="G17" s="1" t="n"/>
    </row>
    <row r="18">
      <c r="A18" s="1" t="n"/>
      <c r="B18" s="7" t="inlineStr">
        <is>
          <t>Annual Property Taxes</t>
        </is>
      </c>
      <c r="C18" s="8" t="n">
        <v>4200</v>
      </c>
      <c r="D18" s="1" t="n"/>
      <c r="E18" s="7" t="inlineStr">
        <is>
          <t>Total Interest Over Loan Life</t>
        </is>
      </c>
      <c r="F18" s="19">
        <f>(F9*C16*12)-C13</f>
        <v/>
      </c>
      <c r="G18" s="1" t="n"/>
    </row>
    <row r="19">
      <c r="A19" s="1" t="n"/>
      <c r="B19" s="7" t="inlineStr">
        <is>
          <t>Annual Homeowner's Insurance</t>
        </is>
      </c>
      <c r="C19" s="8" t="n">
        <v>1800</v>
      </c>
      <c r="D19" s="1" t="n"/>
      <c r="E19" s="7" t="inlineStr">
        <is>
          <t>Total Cost of Loan (P+I)</t>
        </is>
      </c>
      <c r="F19" s="19">
        <f>F9*C16*12</f>
        <v/>
      </c>
      <c r="G19" s="1" t="n"/>
    </row>
    <row r="20">
      <c r="A20" s="1" t="n"/>
      <c r="B20" s="7" t="inlineStr">
        <is>
          <t>Monthly PMI (if applicable)</t>
        </is>
      </c>
      <c r="C20" s="8" t="n">
        <v>0</v>
      </c>
      <c r="D20" s="1" t="n"/>
      <c r="E20" s="1" t="n"/>
      <c r="F20" s="1" t="n"/>
      <c r="G20" s="1" t="n"/>
    </row>
    <row r="21">
      <c r="A21" s="1" t="n"/>
      <c r="B21" s="7" t="inlineStr">
        <is>
          <t>Monthly HOA Dues</t>
        </is>
      </c>
      <c r="C21" s="8" t="n">
        <v>0</v>
      </c>
      <c r="D21" s="1" t="n"/>
      <c r="E21" s="1" t="n"/>
      <c r="F21" s="1" t="n"/>
      <c r="G21" s="1" t="n"/>
    </row>
    <row r="22">
      <c r="A22" s="1" t="n"/>
      <c r="B22" s="1" t="n"/>
      <c r="C22" s="1" t="n"/>
      <c r="D22" s="1" t="n"/>
      <c r="E22" s="1" t="n"/>
      <c r="F22" s="1" t="n"/>
      <c r="G22" s="1" t="n"/>
    </row>
    <row r="23">
      <c r="A23" s="1" t="n"/>
      <c r="B23" s="6" t="inlineStr">
        <is>
          <t>HOW TO USE</t>
        </is>
      </c>
      <c r="C23" s="5" t="n"/>
      <c r="D23" s="5" t="n"/>
      <c r="E23" s="5" t="n"/>
      <c r="F23" s="5" t="n"/>
      <c r="G23" s="1" t="n"/>
    </row>
    <row r="24">
      <c r="A24" s="1" t="n"/>
      <c r="B24" s="1" t="n"/>
      <c r="C24" s="1" t="n"/>
      <c r="D24" s="1" t="n"/>
      <c r="E24" s="1" t="n"/>
      <c r="F24" s="1" t="n"/>
      <c r="G24" s="1" t="n"/>
    </row>
    <row r="25">
      <c r="A25" s="1" t="n"/>
      <c r="B25" s="20" t="inlineStr">
        <is>
          <t>1.  Enter the home purchase price in the yellow cell (C9)</t>
        </is>
      </c>
      <c r="G25" s="1" t="n"/>
    </row>
    <row r="26">
      <c r="A26" s="1" t="n"/>
      <c r="B26" s="20" t="inlineStr">
        <is>
          <t>2.  Enter your down payment amount — the percentage and loan amount calculate automatically</t>
        </is>
      </c>
      <c r="G26" s="1" t="n"/>
    </row>
    <row r="27">
      <c r="A27" s="1" t="n"/>
      <c r="B27" s="20" t="inlineStr">
        <is>
          <t>3.  Enter the annual interest rate as a decimal (example: 6.5% = 0.065)</t>
        </is>
      </c>
      <c r="G27" s="1" t="n"/>
    </row>
    <row r="28">
      <c r="A28" s="1" t="n"/>
      <c r="B28" s="20" t="inlineStr">
        <is>
          <t>4.  Enter your loan term in years (typically 15 or 30)</t>
        </is>
      </c>
      <c r="G28" s="1" t="n"/>
    </row>
    <row r="29">
      <c r="A29" s="1" t="n"/>
      <c r="B29" s="20" t="inlineStr">
        <is>
          <t>5.  Enter annual property taxes and insurance — monthly amounts calculate on the right</t>
        </is>
      </c>
      <c r="G29" s="1" t="n"/>
    </row>
    <row r="30">
      <c r="A30" s="1" t="n"/>
      <c r="B30" s="20" t="inlineStr">
        <is>
          <t>6.  Enter monthly PMI and HOA if applicable (enter 0 if none)</t>
        </is>
      </c>
      <c r="G30" s="1" t="n"/>
    </row>
    <row r="31">
      <c r="A31" s="1" t="n"/>
      <c r="B31" s="20" t="inlineStr">
        <is>
          <t>7.  Your total monthly payment appears on the right including P&amp;I, taxes, insurance, PMI, and HOA</t>
        </is>
      </c>
      <c r="G31" s="1" t="n"/>
    </row>
    <row r="32">
      <c r="A32" s="1" t="n"/>
      <c r="B32" s="20" t="inlineStr">
        <is>
          <t>8.  See the Amortization Schedule tab for a month-by-month breakdown of every payment</t>
        </is>
      </c>
      <c r="G32" s="1" t="n"/>
    </row>
    <row r="33">
      <c r="A33" s="1" t="n"/>
      <c r="B33" s="20" t="inlineStr"/>
      <c r="G33" s="1" t="n"/>
    </row>
    <row r="34">
      <c r="A34" s="1" t="n"/>
      <c r="B34" s="20" t="inlineStr">
        <is>
          <t>Yellow cells = your inputs (change these)    |    All other cells = formulas (don't edit)</t>
        </is>
      </c>
      <c r="G34" s="1" t="n"/>
    </row>
    <row r="35">
      <c r="A35" s="1" t="n"/>
      <c r="B35" s="1" t="n"/>
      <c r="C35" s="1" t="n"/>
      <c r="D35" s="1" t="n"/>
      <c r="E35" s="1" t="n"/>
      <c r="F35" s="1" t="n"/>
      <c r="G35" s="1" t="n"/>
    </row>
    <row r="36">
      <c r="A36" s="1" t="n"/>
      <c r="B36" s="1" t="n"/>
      <c r="C36" s="1" t="n"/>
      <c r="D36" s="1" t="n"/>
      <c r="E36" s="1" t="n"/>
      <c r="F36" s="1" t="n"/>
      <c r="G36" s="1" t="n"/>
    </row>
    <row r="37">
      <c r="A37" s="1" t="n"/>
      <c r="B37" s="21" t="inlineStr">
        <is>
          <t>This calculator is for estimation purposes only. Actual payments may vary. Consult your licensed mortgage loan officer for exact figures.</t>
        </is>
      </c>
      <c r="G37" s="1" t="n"/>
    </row>
    <row r="38">
      <c r="A38" s="1" t="n"/>
      <c r="B38" s="1" t="n"/>
      <c r="C38" s="1" t="n"/>
      <c r="D38" s="1" t="n"/>
      <c r="E38" s="1" t="n"/>
      <c r="F38" s="1" t="n"/>
      <c r="G38" s="1" t="n"/>
    </row>
    <row r="39">
      <c r="A39" s="1" t="n"/>
      <c r="B39" s="22" t="inlineStr">
        <is>
          <t>ChristinaCutolo.com</t>
        </is>
      </c>
      <c r="G39" s="1" t="n"/>
    </row>
    <row r="40">
      <c r="A40" s="1" t="n"/>
      <c r="B40" s="23" t="inlineStr">
        <is>
          <t>Mortgage Pro  •  Investor  •  Lifestyle Curator</t>
        </is>
      </c>
      <c r="G40" s="1" t="n"/>
    </row>
    <row r="41">
      <c r="A41" s="1" t="n"/>
      <c r="B41" s="1" t="n"/>
      <c r="C41" s="1" t="n"/>
      <c r="D41" s="1" t="n"/>
      <c r="E41" s="1" t="n"/>
      <c r="F41" s="1" t="n"/>
      <c r="G41" s="1" t="n"/>
    </row>
    <row r="42">
      <c r="A42" s="1" t="n"/>
      <c r="B42" s="1" t="n"/>
      <c r="C42" s="1" t="n"/>
      <c r="D42" s="1" t="n"/>
      <c r="E42" s="1" t="n"/>
      <c r="F42" s="1" t="n"/>
      <c r="G42" s="1" t="n"/>
    </row>
    <row r="43">
      <c r="A43" s="1" t="n"/>
      <c r="B43" s="1" t="n"/>
      <c r="C43" s="1" t="n"/>
      <c r="D43" s="1" t="n"/>
      <c r="E43" s="1" t="n"/>
      <c r="F43" s="1" t="n"/>
      <c r="G43" s="1" t="n"/>
    </row>
    <row r="44">
      <c r="A44" s="1" t="n"/>
      <c r="B44" s="1" t="n"/>
      <c r="C44" s="1" t="n"/>
      <c r="D44" s="1" t="n"/>
      <c r="E44" s="1" t="n"/>
      <c r="F44" s="1" t="n"/>
      <c r="G44" s="1" t="n"/>
    </row>
    <row r="45">
      <c r="A45" s="1" t="n"/>
      <c r="B45" s="1" t="n"/>
      <c r="C45" s="1" t="n"/>
      <c r="D45" s="1" t="n"/>
      <c r="E45" s="1" t="n"/>
      <c r="F45" s="1" t="n"/>
      <c r="G45" s="1" t="n"/>
    </row>
    <row r="46">
      <c r="A46" s="1" t="n"/>
      <c r="B46" s="1" t="n"/>
      <c r="C46" s="1" t="n"/>
      <c r="D46" s="1" t="n"/>
      <c r="E46" s="1" t="n"/>
      <c r="F46" s="1" t="n"/>
      <c r="G46" s="1" t="n"/>
    </row>
    <row r="47">
      <c r="A47" s="1" t="n"/>
      <c r="B47" s="1" t="n"/>
      <c r="C47" s="1" t="n"/>
      <c r="D47" s="1" t="n"/>
      <c r="E47" s="1" t="n"/>
      <c r="F47" s="1" t="n"/>
      <c r="G47" s="1" t="n"/>
    </row>
    <row r="48">
      <c r="A48" s="1" t="n"/>
      <c r="B48" s="1" t="n"/>
      <c r="C48" s="1" t="n"/>
      <c r="D48" s="1" t="n"/>
      <c r="E48" s="1" t="n"/>
      <c r="F48" s="1" t="n"/>
      <c r="G48" s="1" t="n"/>
    </row>
    <row r="49">
      <c r="A49" s="1" t="n"/>
      <c r="B49" s="1" t="n"/>
      <c r="C49" s="1" t="n"/>
      <c r="D49" s="1" t="n"/>
      <c r="E49" s="1" t="n"/>
      <c r="F49" s="1" t="n"/>
      <c r="G49" s="1" t="n"/>
    </row>
  </sheetData>
  <mergeCells count="19">
    <mergeCell ref="B4:F4"/>
    <mergeCell ref="B7:C7"/>
    <mergeCell ref="B25:F25"/>
    <mergeCell ref="B3:F3"/>
    <mergeCell ref="B31:F31"/>
    <mergeCell ref="B27:F27"/>
    <mergeCell ref="B39:F39"/>
    <mergeCell ref="B2:F2"/>
    <mergeCell ref="B23:F23"/>
    <mergeCell ref="B29:F29"/>
    <mergeCell ref="B34:F34"/>
    <mergeCell ref="B28:F28"/>
    <mergeCell ref="B37:F37"/>
    <mergeCell ref="B40:F40"/>
    <mergeCell ref="B30:F30"/>
    <mergeCell ref="E7:F7"/>
    <mergeCell ref="B33:F33"/>
    <mergeCell ref="B32:F32"/>
    <mergeCell ref="B26:F2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89968"/>
    <outlinePr summaryBelow="1" summaryRight="1"/>
    <pageSetUpPr/>
  </sheetPr>
  <dimension ref="B1:F36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" customWidth="1" min="2" max="2"/>
    <col width="16" customWidth="1" min="3" max="3"/>
    <col width="16" customWidth="1" min="4" max="4"/>
    <col width="16" customWidth="1" min="5" max="5"/>
    <col width="18" customWidth="1" min="6" max="6"/>
    <col width="3" customWidth="1" min="7" max="7"/>
  </cols>
  <sheetData>
    <row r="1">
      <c r="B1" s="24" t="inlineStr">
        <is>
          <t>Amortization Schedule</t>
        </is>
      </c>
    </row>
    <row r="2">
      <c r="B2" s="25" t="inlineStr">
        <is>
          <t>Based on your inputs from the Calculator tab</t>
        </is>
      </c>
    </row>
    <row r="4">
      <c r="B4" s="26" t="inlineStr">
        <is>
          <t>Loan Amount:</t>
        </is>
      </c>
      <c r="C4" s="27">
        <f>Calculator!C13</f>
        <v/>
      </c>
      <c r="D4" s="26" t="inlineStr">
        <is>
          <t>Rate:</t>
        </is>
      </c>
      <c r="E4" s="28">
        <f>Calculator!C15</f>
        <v/>
      </c>
      <c r="F4" s="29">
        <f>Calculator!C16&amp;" Years"</f>
        <v/>
      </c>
    </row>
    <row r="6">
      <c r="B6" s="30" t="inlineStr">
        <is>
          <t>Month</t>
        </is>
      </c>
      <c r="C6" s="30" t="inlineStr">
        <is>
          <t>Payment</t>
        </is>
      </c>
      <c r="D6" s="30" t="inlineStr">
        <is>
          <t>Principal</t>
        </is>
      </c>
      <c r="E6" s="30" t="inlineStr">
        <is>
          <t>Interest</t>
        </is>
      </c>
      <c r="F6" s="30" t="inlineStr">
        <is>
          <t>Remaining Balance</t>
        </is>
      </c>
    </row>
    <row r="7">
      <c r="B7" s="31" t="n">
        <v>1</v>
      </c>
      <c r="C7" s="32">
        <f>IF(1&gt;Calculator!C16*12,"",Calculator!F9)</f>
        <v/>
      </c>
      <c r="D7" s="32">
        <f>IF(C7="","",C7-E7)</f>
        <v/>
      </c>
      <c r="E7" s="32">
        <f>IF(C7="","",ROUND(Calculator!C13*Calculator!C15/12,2))</f>
        <v/>
      </c>
      <c r="F7" s="32">
        <f>IF(C7="","",Calculator!C13-D7)</f>
        <v/>
      </c>
    </row>
    <row r="8">
      <c r="B8" s="33" t="n">
        <v>2</v>
      </c>
      <c r="C8" s="34">
        <f>IF(2&gt;Calculator!C16*12,"",Calculator!F9)</f>
        <v/>
      </c>
      <c r="D8" s="34">
        <f>IF(C8="","",C8-E8)</f>
        <v/>
      </c>
      <c r="E8" s="34">
        <f>IF(C8="","",ROUND(F7*Calculator!C15/12,2))</f>
        <v/>
      </c>
      <c r="F8" s="34">
        <f>IF(C8="","",F7-D8)</f>
        <v/>
      </c>
    </row>
    <row r="9">
      <c r="B9" s="31" t="n">
        <v>3</v>
      </c>
      <c r="C9" s="32">
        <f>IF(3&gt;Calculator!C16*12,"",Calculator!F9)</f>
        <v/>
      </c>
      <c r="D9" s="32">
        <f>IF(C9="","",C9-E9)</f>
        <v/>
      </c>
      <c r="E9" s="32">
        <f>IF(C9="","",ROUND(F8*Calculator!C15/12,2))</f>
        <v/>
      </c>
      <c r="F9" s="32">
        <f>IF(C9="","",F8-D9)</f>
        <v/>
      </c>
    </row>
    <row r="10">
      <c r="B10" s="33" t="n">
        <v>4</v>
      </c>
      <c r="C10" s="34">
        <f>IF(4&gt;Calculator!C16*12,"",Calculator!F9)</f>
        <v/>
      </c>
      <c r="D10" s="34">
        <f>IF(C10="","",C10-E10)</f>
        <v/>
      </c>
      <c r="E10" s="34">
        <f>IF(C10="","",ROUND(F9*Calculator!C15/12,2))</f>
        <v/>
      </c>
      <c r="F10" s="34">
        <f>IF(C10="","",F9-D10)</f>
        <v/>
      </c>
    </row>
    <row r="11">
      <c r="B11" s="31" t="n">
        <v>5</v>
      </c>
      <c r="C11" s="32">
        <f>IF(5&gt;Calculator!C16*12,"",Calculator!F9)</f>
        <v/>
      </c>
      <c r="D11" s="32">
        <f>IF(C11="","",C11-E11)</f>
        <v/>
      </c>
      <c r="E11" s="32">
        <f>IF(C11="","",ROUND(F10*Calculator!C15/12,2))</f>
        <v/>
      </c>
      <c r="F11" s="32">
        <f>IF(C11="","",F10-D11)</f>
        <v/>
      </c>
    </row>
    <row r="12">
      <c r="B12" s="33" t="n">
        <v>6</v>
      </c>
      <c r="C12" s="34">
        <f>IF(6&gt;Calculator!C16*12,"",Calculator!F9)</f>
        <v/>
      </c>
      <c r="D12" s="34">
        <f>IF(C12="","",C12-E12)</f>
        <v/>
      </c>
      <c r="E12" s="34">
        <f>IF(C12="","",ROUND(F11*Calculator!C15/12,2))</f>
        <v/>
      </c>
      <c r="F12" s="34">
        <f>IF(C12="","",F11-D12)</f>
        <v/>
      </c>
    </row>
    <row r="13">
      <c r="B13" s="31" t="n">
        <v>7</v>
      </c>
      <c r="C13" s="32">
        <f>IF(7&gt;Calculator!C16*12,"",Calculator!F9)</f>
        <v/>
      </c>
      <c r="D13" s="32">
        <f>IF(C13="","",C13-E13)</f>
        <v/>
      </c>
      <c r="E13" s="32">
        <f>IF(C13="","",ROUND(F12*Calculator!C15/12,2))</f>
        <v/>
      </c>
      <c r="F13" s="32">
        <f>IF(C13="","",F12-D13)</f>
        <v/>
      </c>
    </row>
    <row r="14">
      <c r="B14" s="33" t="n">
        <v>8</v>
      </c>
      <c r="C14" s="34">
        <f>IF(8&gt;Calculator!C16*12,"",Calculator!F9)</f>
        <v/>
      </c>
      <c r="D14" s="34">
        <f>IF(C14="","",C14-E14)</f>
        <v/>
      </c>
      <c r="E14" s="34">
        <f>IF(C14="","",ROUND(F13*Calculator!C15/12,2))</f>
        <v/>
      </c>
      <c r="F14" s="34">
        <f>IF(C14="","",F13-D14)</f>
        <v/>
      </c>
    </row>
    <row r="15">
      <c r="B15" s="31" t="n">
        <v>9</v>
      </c>
      <c r="C15" s="32">
        <f>IF(9&gt;Calculator!C16*12,"",Calculator!F9)</f>
        <v/>
      </c>
      <c r="D15" s="32">
        <f>IF(C15="","",C15-E15)</f>
        <v/>
      </c>
      <c r="E15" s="32">
        <f>IF(C15="","",ROUND(F14*Calculator!C15/12,2))</f>
        <v/>
      </c>
      <c r="F15" s="32">
        <f>IF(C15="","",F14-D15)</f>
        <v/>
      </c>
    </row>
    <row r="16">
      <c r="B16" s="33" t="n">
        <v>10</v>
      </c>
      <c r="C16" s="34">
        <f>IF(10&gt;Calculator!C16*12,"",Calculator!F9)</f>
        <v/>
      </c>
      <c r="D16" s="34">
        <f>IF(C16="","",C16-E16)</f>
        <v/>
      </c>
      <c r="E16" s="34">
        <f>IF(C16="","",ROUND(F15*Calculator!C15/12,2))</f>
        <v/>
      </c>
      <c r="F16" s="34">
        <f>IF(C16="","",F15-D16)</f>
        <v/>
      </c>
    </row>
    <row r="17">
      <c r="B17" s="31" t="n">
        <v>11</v>
      </c>
      <c r="C17" s="32">
        <f>IF(11&gt;Calculator!C16*12,"",Calculator!F9)</f>
        <v/>
      </c>
      <c r="D17" s="32">
        <f>IF(C17="","",C17-E17)</f>
        <v/>
      </c>
      <c r="E17" s="32">
        <f>IF(C17="","",ROUND(F16*Calculator!C15/12,2))</f>
        <v/>
      </c>
      <c r="F17" s="32">
        <f>IF(C17="","",F16-D17)</f>
        <v/>
      </c>
    </row>
    <row r="18">
      <c r="B18" s="33" t="n">
        <v>12</v>
      </c>
      <c r="C18" s="34">
        <f>IF(12&gt;Calculator!C16*12,"",Calculator!F9)</f>
        <v/>
      </c>
      <c r="D18" s="34">
        <f>IF(C18="","",C18-E18)</f>
        <v/>
      </c>
      <c r="E18" s="34">
        <f>IF(C18="","",ROUND(F17*Calculator!C15/12,2))</f>
        <v/>
      </c>
      <c r="F18" s="34">
        <f>IF(C18="","",F17-D18)</f>
        <v/>
      </c>
    </row>
    <row r="19">
      <c r="B19" s="31" t="n">
        <v>13</v>
      </c>
      <c r="C19" s="32">
        <f>IF(13&gt;Calculator!C16*12,"",Calculator!F9)</f>
        <v/>
      </c>
      <c r="D19" s="32">
        <f>IF(C19="","",C19-E19)</f>
        <v/>
      </c>
      <c r="E19" s="32">
        <f>IF(C19="","",ROUND(F18*Calculator!C15/12,2))</f>
        <v/>
      </c>
      <c r="F19" s="32">
        <f>IF(C19="","",F18-D19)</f>
        <v/>
      </c>
    </row>
    <row r="20">
      <c r="B20" s="33" t="n">
        <v>14</v>
      </c>
      <c r="C20" s="34">
        <f>IF(14&gt;Calculator!C16*12,"",Calculator!F9)</f>
        <v/>
      </c>
      <c r="D20" s="34">
        <f>IF(C20="","",C20-E20)</f>
        <v/>
      </c>
      <c r="E20" s="34">
        <f>IF(C20="","",ROUND(F19*Calculator!C15/12,2))</f>
        <v/>
      </c>
      <c r="F20" s="34">
        <f>IF(C20="","",F19-D20)</f>
        <v/>
      </c>
    </row>
    <row r="21">
      <c r="B21" s="31" t="n">
        <v>15</v>
      </c>
      <c r="C21" s="32">
        <f>IF(15&gt;Calculator!C16*12,"",Calculator!F9)</f>
        <v/>
      </c>
      <c r="D21" s="32">
        <f>IF(C21="","",C21-E21)</f>
        <v/>
      </c>
      <c r="E21" s="32">
        <f>IF(C21="","",ROUND(F20*Calculator!C15/12,2))</f>
        <v/>
      </c>
      <c r="F21" s="32">
        <f>IF(C21="","",F20-D21)</f>
        <v/>
      </c>
    </row>
    <row r="22">
      <c r="B22" s="33" t="n">
        <v>16</v>
      </c>
      <c r="C22" s="34">
        <f>IF(16&gt;Calculator!C16*12,"",Calculator!F9)</f>
        <v/>
      </c>
      <c r="D22" s="34">
        <f>IF(C22="","",C22-E22)</f>
        <v/>
      </c>
      <c r="E22" s="34">
        <f>IF(C22="","",ROUND(F21*Calculator!C15/12,2))</f>
        <v/>
      </c>
      <c r="F22" s="34">
        <f>IF(C22="","",F21-D22)</f>
        <v/>
      </c>
    </row>
    <row r="23">
      <c r="B23" s="31" t="n">
        <v>17</v>
      </c>
      <c r="C23" s="32">
        <f>IF(17&gt;Calculator!C16*12,"",Calculator!F9)</f>
        <v/>
      </c>
      <c r="D23" s="32">
        <f>IF(C23="","",C23-E23)</f>
        <v/>
      </c>
      <c r="E23" s="32">
        <f>IF(C23="","",ROUND(F22*Calculator!C15/12,2))</f>
        <v/>
      </c>
      <c r="F23" s="32">
        <f>IF(C23="","",F22-D23)</f>
        <v/>
      </c>
    </row>
    <row r="24">
      <c r="B24" s="33" t="n">
        <v>18</v>
      </c>
      <c r="C24" s="34">
        <f>IF(18&gt;Calculator!C16*12,"",Calculator!F9)</f>
        <v/>
      </c>
      <c r="D24" s="34">
        <f>IF(C24="","",C24-E24)</f>
        <v/>
      </c>
      <c r="E24" s="34">
        <f>IF(C24="","",ROUND(F23*Calculator!C15/12,2))</f>
        <v/>
      </c>
      <c r="F24" s="34">
        <f>IF(C24="","",F23-D24)</f>
        <v/>
      </c>
    </row>
    <row r="25">
      <c r="B25" s="31" t="n">
        <v>19</v>
      </c>
      <c r="C25" s="32">
        <f>IF(19&gt;Calculator!C16*12,"",Calculator!F9)</f>
        <v/>
      </c>
      <c r="D25" s="32">
        <f>IF(C25="","",C25-E25)</f>
        <v/>
      </c>
      <c r="E25" s="32">
        <f>IF(C25="","",ROUND(F24*Calculator!C15/12,2))</f>
        <v/>
      </c>
      <c r="F25" s="32">
        <f>IF(C25="","",F24-D25)</f>
        <v/>
      </c>
    </row>
    <row r="26">
      <c r="B26" s="33" t="n">
        <v>20</v>
      </c>
      <c r="C26" s="34">
        <f>IF(20&gt;Calculator!C16*12,"",Calculator!F9)</f>
        <v/>
      </c>
      <c r="D26" s="34">
        <f>IF(C26="","",C26-E26)</f>
        <v/>
      </c>
      <c r="E26" s="34">
        <f>IF(C26="","",ROUND(F25*Calculator!C15/12,2))</f>
        <v/>
      </c>
      <c r="F26" s="34">
        <f>IF(C26="","",F25-D26)</f>
        <v/>
      </c>
    </row>
    <row r="27">
      <c r="B27" s="31" t="n">
        <v>21</v>
      </c>
      <c r="C27" s="32">
        <f>IF(21&gt;Calculator!C16*12,"",Calculator!F9)</f>
        <v/>
      </c>
      <c r="D27" s="32">
        <f>IF(C27="","",C27-E27)</f>
        <v/>
      </c>
      <c r="E27" s="32">
        <f>IF(C27="","",ROUND(F26*Calculator!C15/12,2))</f>
        <v/>
      </c>
      <c r="F27" s="32">
        <f>IF(C27="","",F26-D27)</f>
        <v/>
      </c>
    </row>
    <row r="28">
      <c r="B28" s="33" t="n">
        <v>22</v>
      </c>
      <c r="C28" s="34">
        <f>IF(22&gt;Calculator!C16*12,"",Calculator!F9)</f>
        <v/>
      </c>
      <c r="D28" s="34">
        <f>IF(C28="","",C28-E28)</f>
        <v/>
      </c>
      <c r="E28" s="34">
        <f>IF(C28="","",ROUND(F27*Calculator!C15/12,2))</f>
        <v/>
      </c>
      <c r="F28" s="34">
        <f>IF(C28="","",F27-D28)</f>
        <v/>
      </c>
    </row>
    <row r="29">
      <c r="B29" s="31" t="n">
        <v>23</v>
      </c>
      <c r="C29" s="32">
        <f>IF(23&gt;Calculator!C16*12,"",Calculator!F9)</f>
        <v/>
      </c>
      <c r="D29" s="32">
        <f>IF(C29="","",C29-E29)</f>
        <v/>
      </c>
      <c r="E29" s="32">
        <f>IF(C29="","",ROUND(F28*Calculator!C15/12,2))</f>
        <v/>
      </c>
      <c r="F29" s="32">
        <f>IF(C29="","",F28-D29)</f>
        <v/>
      </c>
    </row>
    <row r="30">
      <c r="B30" s="33" t="n">
        <v>24</v>
      </c>
      <c r="C30" s="34">
        <f>IF(24&gt;Calculator!C16*12,"",Calculator!F9)</f>
        <v/>
      </c>
      <c r="D30" s="34">
        <f>IF(C30="","",C30-E30)</f>
        <v/>
      </c>
      <c r="E30" s="34">
        <f>IF(C30="","",ROUND(F29*Calculator!C15/12,2))</f>
        <v/>
      </c>
      <c r="F30" s="34">
        <f>IF(C30="","",F29-D30)</f>
        <v/>
      </c>
    </row>
    <row r="31">
      <c r="B31" s="31" t="n">
        <v>25</v>
      </c>
      <c r="C31" s="32">
        <f>IF(25&gt;Calculator!C16*12,"",Calculator!F9)</f>
        <v/>
      </c>
      <c r="D31" s="32">
        <f>IF(C31="","",C31-E31)</f>
        <v/>
      </c>
      <c r="E31" s="32">
        <f>IF(C31="","",ROUND(F30*Calculator!C15/12,2))</f>
        <v/>
      </c>
      <c r="F31" s="32">
        <f>IF(C31="","",F30-D31)</f>
        <v/>
      </c>
    </row>
    <row r="32">
      <c r="B32" s="33" t="n">
        <v>26</v>
      </c>
      <c r="C32" s="34">
        <f>IF(26&gt;Calculator!C16*12,"",Calculator!F9)</f>
        <v/>
      </c>
      <c r="D32" s="34">
        <f>IF(C32="","",C32-E32)</f>
        <v/>
      </c>
      <c r="E32" s="34">
        <f>IF(C32="","",ROUND(F31*Calculator!C15/12,2))</f>
        <v/>
      </c>
      <c r="F32" s="34">
        <f>IF(C32="","",F31-D32)</f>
        <v/>
      </c>
    </row>
    <row r="33">
      <c r="B33" s="31" t="n">
        <v>27</v>
      </c>
      <c r="C33" s="32">
        <f>IF(27&gt;Calculator!C16*12,"",Calculator!F9)</f>
        <v/>
      </c>
      <c r="D33" s="32">
        <f>IF(C33="","",C33-E33)</f>
        <v/>
      </c>
      <c r="E33" s="32">
        <f>IF(C33="","",ROUND(F32*Calculator!C15/12,2))</f>
        <v/>
      </c>
      <c r="F33" s="32">
        <f>IF(C33="","",F32-D33)</f>
        <v/>
      </c>
    </row>
    <row r="34">
      <c r="B34" s="33" t="n">
        <v>28</v>
      </c>
      <c r="C34" s="34">
        <f>IF(28&gt;Calculator!C16*12,"",Calculator!F9)</f>
        <v/>
      </c>
      <c r="D34" s="34">
        <f>IF(C34="","",C34-E34)</f>
        <v/>
      </c>
      <c r="E34" s="34">
        <f>IF(C34="","",ROUND(F33*Calculator!C15/12,2))</f>
        <v/>
      </c>
      <c r="F34" s="34">
        <f>IF(C34="","",F33-D34)</f>
        <v/>
      </c>
    </row>
    <row r="35">
      <c r="B35" s="31" t="n">
        <v>29</v>
      </c>
      <c r="C35" s="32">
        <f>IF(29&gt;Calculator!C16*12,"",Calculator!F9)</f>
        <v/>
      </c>
      <c r="D35" s="32">
        <f>IF(C35="","",C35-E35)</f>
        <v/>
      </c>
      <c r="E35" s="32">
        <f>IF(C35="","",ROUND(F34*Calculator!C15/12,2))</f>
        <v/>
      </c>
      <c r="F35" s="32">
        <f>IF(C35="","",F34-D35)</f>
        <v/>
      </c>
    </row>
    <row r="36">
      <c r="B36" s="33" t="n">
        <v>30</v>
      </c>
      <c r="C36" s="34">
        <f>IF(30&gt;Calculator!C16*12,"",Calculator!F9)</f>
        <v/>
      </c>
      <c r="D36" s="34">
        <f>IF(C36="","",C36-E36)</f>
        <v/>
      </c>
      <c r="E36" s="34">
        <f>IF(C36="","",ROUND(F35*Calculator!C15/12,2))</f>
        <v/>
      </c>
      <c r="F36" s="34">
        <f>IF(C36="","",F35-D36)</f>
        <v/>
      </c>
    </row>
    <row r="37">
      <c r="B37" s="31" t="n">
        <v>31</v>
      </c>
      <c r="C37" s="32">
        <f>IF(31&gt;Calculator!C16*12,"",Calculator!F9)</f>
        <v/>
      </c>
      <c r="D37" s="32">
        <f>IF(C37="","",C37-E37)</f>
        <v/>
      </c>
      <c r="E37" s="32">
        <f>IF(C37="","",ROUND(F36*Calculator!C15/12,2))</f>
        <v/>
      </c>
      <c r="F37" s="32">
        <f>IF(C37="","",F36-D37)</f>
        <v/>
      </c>
    </row>
    <row r="38">
      <c r="B38" s="33" t="n">
        <v>32</v>
      </c>
      <c r="C38" s="34">
        <f>IF(32&gt;Calculator!C16*12,"",Calculator!F9)</f>
        <v/>
      </c>
      <c r="D38" s="34">
        <f>IF(C38="","",C38-E38)</f>
        <v/>
      </c>
      <c r="E38" s="34">
        <f>IF(C38="","",ROUND(F37*Calculator!C15/12,2))</f>
        <v/>
      </c>
      <c r="F38" s="34">
        <f>IF(C38="","",F37-D38)</f>
        <v/>
      </c>
    </row>
    <row r="39">
      <c r="B39" s="31" t="n">
        <v>33</v>
      </c>
      <c r="C39" s="32">
        <f>IF(33&gt;Calculator!C16*12,"",Calculator!F9)</f>
        <v/>
      </c>
      <c r="D39" s="32">
        <f>IF(C39="","",C39-E39)</f>
        <v/>
      </c>
      <c r="E39" s="32">
        <f>IF(C39="","",ROUND(F38*Calculator!C15/12,2))</f>
        <v/>
      </c>
      <c r="F39" s="32">
        <f>IF(C39="","",F38-D39)</f>
        <v/>
      </c>
    </row>
    <row r="40">
      <c r="B40" s="33" t="n">
        <v>34</v>
      </c>
      <c r="C40" s="34">
        <f>IF(34&gt;Calculator!C16*12,"",Calculator!F9)</f>
        <v/>
      </c>
      <c r="D40" s="34">
        <f>IF(C40="","",C40-E40)</f>
        <v/>
      </c>
      <c r="E40" s="34">
        <f>IF(C40="","",ROUND(F39*Calculator!C15/12,2))</f>
        <v/>
      </c>
      <c r="F40" s="34">
        <f>IF(C40="","",F39-D40)</f>
        <v/>
      </c>
    </row>
    <row r="41">
      <c r="B41" s="31" t="n">
        <v>35</v>
      </c>
      <c r="C41" s="32">
        <f>IF(35&gt;Calculator!C16*12,"",Calculator!F9)</f>
        <v/>
      </c>
      <c r="D41" s="32">
        <f>IF(C41="","",C41-E41)</f>
        <v/>
      </c>
      <c r="E41" s="32">
        <f>IF(C41="","",ROUND(F40*Calculator!C15/12,2))</f>
        <v/>
      </c>
      <c r="F41" s="32">
        <f>IF(C41="","",F40-D41)</f>
        <v/>
      </c>
    </row>
    <row r="42">
      <c r="B42" s="33" t="n">
        <v>36</v>
      </c>
      <c r="C42" s="34">
        <f>IF(36&gt;Calculator!C16*12,"",Calculator!F9)</f>
        <v/>
      </c>
      <c r="D42" s="34">
        <f>IF(C42="","",C42-E42)</f>
        <v/>
      </c>
      <c r="E42" s="34">
        <f>IF(C42="","",ROUND(F41*Calculator!C15/12,2))</f>
        <v/>
      </c>
      <c r="F42" s="34">
        <f>IF(C42="","",F41-D42)</f>
        <v/>
      </c>
    </row>
    <row r="43">
      <c r="B43" s="31" t="n">
        <v>37</v>
      </c>
      <c r="C43" s="32">
        <f>IF(37&gt;Calculator!C16*12,"",Calculator!F9)</f>
        <v/>
      </c>
      <c r="D43" s="32">
        <f>IF(C43="","",C43-E43)</f>
        <v/>
      </c>
      <c r="E43" s="32">
        <f>IF(C43="","",ROUND(F42*Calculator!C15/12,2))</f>
        <v/>
      </c>
      <c r="F43" s="32">
        <f>IF(C43="","",F42-D43)</f>
        <v/>
      </c>
    </row>
    <row r="44">
      <c r="B44" s="33" t="n">
        <v>38</v>
      </c>
      <c r="C44" s="34">
        <f>IF(38&gt;Calculator!C16*12,"",Calculator!F9)</f>
        <v/>
      </c>
      <c r="D44" s="34">
        <f>IF(C44="","",C44-E44)</f>
        <v/>
      </c>
      <c r="E44" s="34">
        <f>IF(C44="","",ROUND(F43*Calculator!C15/12,2))</f>
        <v/>
      </c>
      <c r="F44" s="34">
        <f>IF(C44="","",F43-D44)</f>
        <v/>
      </c>
    </row>
    <row r="45">
      <c r="B45" s="31" t="n">
        <v>39</v>
      </c>
      <c r="C45" s="32">
        <f>IF(39&gt;Calculator!C16*12,"",Calculator!F9)</f>
        <v/>
      </c>
      <c r="D45" s="32">
        <f>IF(C45="","",C45-E45)</f>
        <v/>
      </c>
      <c r="E45" s="32">
        <f>IF(C45="","",ROUND(F44*Calculator!C15/12,2))</f>
        <v/>
      </c>
      <c r="F45" s="32">
        <f>IF(C45="","",F44-D45)</f>
        <v/>
      </c>
    </row>
    <row r="46">
      <c r="B46" s="33" t="n">
        <v>40</v>
      </c>
      <c r="C46" s="34">
        <f>IF(40&gt;Calculator!C16*12,"",Calculator!F9)</f>
        <v/>
      </c>
      <c r="D46" s="34">
        <f>IF(C46="","",C46-E46)</f>
        <v/>
      </c>
      <c r="E46" s="34">
        <f>IF(C46="","",ROUND(F45*Calculator!C15/12,2))</f>
        <v/>
      </c>
      <c r="F46" s="34">
        <f>IF(C46="","",F45-D46)</f>
        <v/>
      </c>
    </row>
    <row r="47">
      <c r="B47" s="31" t="n">
        <v>41</v>
      </c>
      <c r="C47" s="32">
        <f>IF(41&gt;Calculator!C16*12,"",Calculator!F9)</f>
        <v/>
      </c>
      <c r="D47" s="32">
        <f>IF(C47="","",C47-E47)</f>
        <v/>
      </c>
      <c r="E47" s="32">
        <f>IF(C47="","",ROUND(F46*Calculator!C15/12,2))</f>
        <v/>
      </c>
      <c r="F47" s="32">
        <f>IF(C47="","",F46-D47)</f>
        <v/>
      </c>
    </row>
    <row r="48">
      <c r="B48" s="33" t="n">
        <v>42</v>
      </c>
      <c r="C48" s="34">
        <f>IF(42&gt;Calculator!C16*12,"",Calculator!F9)</f>
        <v/>
      </c>
      <c r="D48" s="34">
        <f>IF(C48="","",C48-E48)</f>
        <v/>
      </c>
      <c r="E48" s="34">
        <f>IF(C48="","",ROUND(F47*Calculator!C15/12,2))</f>
        <v/>
      </c>
      <c r="F48" s="34">
        <f>IF(C48="","",F47-D48)</f>
        <v/>
      </c>
    </row>
    <row r="49">
      <c r="B49" s="31" t="n">
        <v>43</v>
      </c>
      <c r="C49" s="32">
        <f>IF(43&gt;Calculator!C16*12,"",Calculator!F9)</f>
        <v/>
      </c>
      <c r="D49" s="32">
        <f>IF(C49="","",C49-E49)</f>
        <v/>
      </c>
      <c r="E49" s="32">
        <f>IF(C49="","",ROUND(F48*Calculator!C15/12,2))</f>
        <v/>
      </c>
      <c r="F49" s="32">
        <f>IF(C49="","",F48-D49)</f>
        <v/>
      </c>
    </row>
    <row r="50">
      <c r="B50" s="33" t="n">
        <v>44</v>
      </c>
      <c r="C50" s="34">
        <f>IF(44&gt;Calculator!C16*12,"",Calculator!F9)</f>
        <v/>
      </c>
      <c r="D50" s="34">
        <f>IF(C50="","",C50-E50)</f>
        <v/>
      </c>
      <c r="E50" s="34">
        <f>IF(C50="","",ROUND(F49*Calculator!C15/12,2))</f>
        <v/>
      </c>
      <c r="F50" s="34">
        <f>IF(C50="","",F49-D50)</f>
        <v/>
      </c>
    </row>
    <row r="51">
      <c r="B51" s="31" t="n">
        <v>45</v>
      </c>
      <c r="C51" s="32">
        <f>IF(45&gt;Calculator!C16*12,"",Calculator!F9)</f>
        <v/>
      </c>
      <c r="D51" s="32">
        <f>IF(C51="","",C51-E51)</f>
        <v/>
      </c>
      <c r="E51" s="32">
        <f>IF(C51="","",ROUND(F50*Calculator!C15/12,2))</f>
        <v/>
      </c>
      <c r="F51" s="32">
        <f>IF(C51="","",F50-D51)</f>
        <v/>
      </c>
    </row>
    <row r="52">
      <c r="B52" s="33" t="n">
        <v>46</v>
      </c>
      <c r="C52" s="34">
        <f>IF(46&gt;Calculator!C16*12,"",Calculator!F9)</f>
        <v/>
      </c>
      <c r="D52" s="34">
        <f>IF(C52="","",C52-E52)</f>
        <v/>
      </c>
      <c r="E52" s="34">
        <f>IF(C52="","",ROUND(F51*Calculator!C15/12,2))</f>
        <v/>
      </c>
      <c r="F52" s="34">
        <f>IF(C52="","",F51-D52)</f>
        <v/>
      </c>
    </row>
    <row r="53">
      <c r="B53" s="31" t="n">
        <v>47</v>
      </c>
      <c r="C53" s="32">
        <f>IF(47&gt;Calculator!C16*12,"",Calculator!F9)</f>
        <v/>
      </c>
      <c r="D53" s="32">
        <f>IF(C53="","",C53-E53)</f>
        <v/>
      </c>
      <c r="E53" s="32">
        <f>IF(C53="","",ROUND(F52*Calculator!C15/12,2))</f>
        <v/>
      </c>
      <c r="F53" s="32">
        <f>IF(C53="","",F52-D53)</f>
        <v/>
      </c>
    </row>
    <row r="54">
      <c r="B54" s="33" t="n">
        <v>48</v>
      </c>
      <c r="C54" s="34">
        <f>IF(48&gt;Calculator!C16*12,"",Calculator!F9)</f>
        <v/>
      </c>
      <c r="D54" s="34">
        <f>IF(C54="","",C54-E54)</f>
        <v/>
      </c>
      <c r="E54" s="34">
        <f>IF(C54="","",ROUND(F53*Calculator!C15/12,2))</f>
        <v/>
      </c>
      <c r="F54" s="34">
        <f>IF(C54="","",F53-D54)</f>
        <v/>
      </c>
    </row>
    <row r="55">
      <c r="B55" s="31" t="n">
        <v>49</v>
      </c>
      <c r="C55" s="32">
        <f>IF(49&gt;Calculator!C16*12,"",Calculator!F9)</f>
        <v/>
      </c>
      <c r="D55" s="32">
        <f>IF(C55="","",C55-E55)</f>
        <v/>
      </c>
      <c r="E55" s="32">
        <f>IF(C55="","",ROUND(F54*Calculator!C15/12,2))</f>
        <v/>
      </c>
      <c r="F55" s="32">
        <f>IF(C55="","",F54-D55)</f>
        <v/>
      </c>
    </row>
    <row r="56">
      <c r="B56" s="33" t="n">
        <v>50</v>
      </c>
      <c r="C56" s="34">
        <f>IF(50&gt;Calculator!C16*12,"",Calculator!F9)</f>
        <v/>
      </c>
      <c r="D56" s="34">
        <f>IF(C56="","",C56-E56)</f>
        <v/>
      </c>
      <c r="E56" s="34">
        <f>IF(C56="","",ROUND(F55*Calculator!C15/12,2))</f>
        <v/>
      </c>
      <c r="F56" s="34">
        <f>IF(C56="","",F55-D56)</f>
        <v/>
      </c>
    </row>
    <row r="57">
      <c r="B57" s="31" t="n">
        <v>51</v>
      </c>
      <c r="C57" s="32">
        <f>IF(51&gt;Calculator!C16*12,"",Calculator!F9)</f>
        <v/>
      </c>
      <c r="D57" s="32">
        <f>IF(C57="","",C57-E57)</f>
        <v/>
      </c>
      <c r="E57" s="32">
        <f>IF(C57="","",ROUND(F56*Calculator!C15/12,2))</f>
        <v/>
      </c>
      <c r="F57" s="32">
        <f>IF(C57="","",F56-D57)</f>
        <v/>
      </c>
    </row>
    <row r="58">
      <c r="B58" s="33" t="n">
        <v>52</v>
      </c>
      <c r="C58" s="34">
        <f>IF(52&gt;Calculator!C16*12,"",Calculator!F9)</f>
        <v/>
      </c>
      <c r="D58" s="34">
        <f>IF(C58="","",C58-E58)</f>
        <v/>
      </c>
      <c r="E58" s="34">
        <f>IF(C58="","",ROUND(F57*Calculator!C15/12,2))</f>
        <v/>
      </c>
      <c r="F58" s="34">
        <f>IF(C58="","",F57-D58)</f>
        <v/>
      </c>
    </row>
    <row r="59">
      <c r="B59" s="31" t="n">
        <v>53</v>
      </c>
      <c r="C59" s="32">
        <f>IF(53&gt;Calculator!C16*12,"",Calculator!F9)</f>
        <v/>
      </c>
      <c r="D59" s="32">
        <f>IF(C59="","",C59-E59)</f>
        <v/>
      </c>
      <c r="E59" s="32">
        <f>IF(C59="","",ROUND(F58*Calculator!C15/12,2))</f>
        <v/>
      </c>
      <c r="F59" s="32">
        <f>IF(C59="","",F58-D59)</f>
        <v/>
      </c>
    </row>
    <row r="60">
      <c r="B60" s="33" t="n">
        <v>54</v>
      </c>
      <c r="C60" s="34">
        <f>IF(54&gt;Calculator!C16*12,"",Calculator!F9)</f>
        <v/>
      </c>
      <c r="D60" s="34">
        <f>IF(C60="","",C60-E60)</f>
        <v/>
      </c>
      <c r="E60" s="34">
        <f>IF(C60="","",ROUND(F59*Calculator!C15/12,2))</f>
        <v/>
      </c>
      <c r="F60" s="34">
        <f>IF(C60="","",F59-D60)</f>
        <v/>
      </c>
    </row>
    <row r="61">
      <c r="B61" s="31" t="n">
        <v>55</v>
      </c>
      <c r="C61" s="32">
        <f>IF(55&gt;Calculator!C16*12,"",Calculator!F9)</f>
        <v/>
      </c>
      <c r="D61" s="32">
        <f>IF(C61="","",C61-E61)</f>
        <v/>
      </c>
      <c r="E61" s="32">
        <f>IF(C61="","",ROUND(F60*Calculator!C15/12,2))</f>
        <v/>
      </c>
      <c r="F61" s="32">
        <f>IF(C61="","",F60-D61)</f>
        <v/>
      </c>
    </row>
    <row r="62">
      <c r="B62" s="33" t="n">
        <v>56</v>
      </c>
      <c r="C62" s="34">
        <f>IF(56&gt;Calculator!C16*12,"",Calculator!F9)</f>
        <v/>
      </c>
      <c r="D62" s="34">
        <f>IF(C62="","",C62-E62)</f>
        <v/>
      </c>
      <c r="E62" s="34">
        <f>IF(C62="","",ROUND(F61*Calculator!C15/12,2))</f>
        <v/>
      </c>
      <c r="F62" s="34">
        <f>IF(C62="","",F61-D62)</f>
        <v/>
      </c>
    </row>
    <row r="63">
      <c r="B63" s="31" t="n">
        <v>57</v>
      </c>
      <c r="C63" s="32">
        <f>IF(57&gt;Calculator!C16*12,"",Calculator!F9)</f>
        <v/>
      </c>
      <c r="D63" s="32">
        <f>IF(C63="","",C63-E63)</f>
        <v/>
      </c>
      <c r="E63" s="32">
        <f>IF(C63="","",ROUND(F62*Calculator!C15/12,2))</f>
        <v/>
      </c>
      <c r="F63" s="32">
        <f>IF(C63="","",F62-D63)</f>
        <v/>
      </c>
    </row>
    <row r="64">
      <c r="B64" s="33" t="n">
        <v>58</v>
      </c>
      <c r="C64" s="34">
        <f>IF(58&gt;Calculator!C16*12,"",Calculator!F9)</f>
        <v/>
      </c>
      <c r="D64" s="34">
        <f>IF(C64="","",C64-E64)</f>
        <v/>
      </c>
      <c r="E64" s="34">
        <f>IF(C64="","",ROUND(F63*Calculator!C15/12,2))</f>
        <v/>
      </c>
      <c r="F64" s="34">
        <f>IF(C64="","",F63-D64)</f>
        <v/>
      </c>
    </row>
    <row r="65">
      <c r="B65" s="31" t="n">
        <v>59</v>
      </c>
      <c r="C65" s="32">
        <f>IF(59&gt;Calculator!C16*12,"",Calculator!F9)</f>
        <v/>
      </c>
      <c r="D65" s="32">
        <f>IF(C65="","",C65-E65)</f>
        <v/>
      </c>
      <c r="E65" s="32">
        <f>IF(C65="","",ROUND(F64*Calculator!C15/12,2))</f>
        <v/>
      </c>
      <c r="F65" s="32">
        <f>IF(C65="","",F64-D65)</f>
        <v/>
      </c>
    </row>
    <row r="66">
      <c r="B66" s="33" t="n">
        <v>60</v>
      </c>
      <c r="C66" s="34">
        <f>IF(60&gt;Calculator!C16*12,"",Calculator!F9)</f>
        <v/>
      </c>
      <c r="D66" s="34">
        <f>IF(C66="","",C66-E66)</f>
        <v/>
      </c>
      <c r="E66" s="34">
        <f>IF(C66="","",ROUND(F65*Calculator!C15/12,2))</f>
        <v/>
      </c>
      <c r="F66" s="34">
        <f>IF(C66="","",F65-D66)</f>
        <v/>
      </c>
    </row>
    <row r="67">
      <c r="B67" s="31" t="n">
        <v>61</v>
      </c>
      <c r="C67" s="32">
        <f>IF(61&gt;Calculator!C16*12,"",Calculator!F9)</f>
        <v/>
      </c>
      <c r="D67" s="32">
        <f>IF(C67="","",C67-E67)</f>
        <v/>
      </c>
      <c r="E67" s="32">
        <f>IF(C67="","",ROUND(F66*Calculator!C15/12,2))</f>
        <v/>
      </c>
      <c r="F67" s="32">
        <f>IF(C67="","",F66-D67)</f>
        <v/>
      </c>
    </row>
    <row r="68">
      <c r="B68" s="33" t="n">
        <v>62</v>
      </c>
      <c r="C68" s="34">
        <f>IF(62&gt;Calculator!C16*12,"",Calculator!F9)</f>
        <v/>
      </c>
      <c r="D68" s="34">
        <f>IF(C68="","",C68-E68)</f>
        <v/>
      </c>
      <c r="E68" s="34">
        <f>IF(C68="","",ROUND(F67*Calculator!C15/12,2))</f>
        <v/>
      </c>
      <c r="F68" s="34">
        <f>IF(C68="","",F67-D68)</f>
        <v/>
      </c>
    </row>
    <row r="69">
      <c r="B69" s="31" t="n">
        <v>63</v>
      </c>
      <c r="C69" s="32">
        <f>IF(63&gt;Calculator!C16*12,"",Calculator!F9)</f>
        <v/>
      </c>
      <c r="D69" s="32">
        <f>IF(C69="","",C69-E69)</f>
        <v/>
      </c>
      <c r="E69" s="32">
        <f>IF(C69="","",ROUND(F68*Calculator!C15/12,2))</f>
        <v/>
      </c>
      <c r="F69" s="32">
        <f>IF(C69="","",F68-D69)</f>
        <v/>
      </c>
    </row>
    <row r="70">
      <c r="B70" s="33" t="n">
        <v>64</v>
      </c>
      <c r="C70" s="34">
        <f>IF(64&gt;Calculator!C16*12,"",Calculator!F9)</f>
        <v/>
      </c>
      <c r="D70" s="34">
        <f>IF(C70="","",C70-E70)</f>
        <v/>
      </c>
      <c r="E70" s="34">
        <f>IF(C70="","",ROUND(F69*Calculator!C15/12,2))</f>
        <v/>
      </c>
      <c r="F70" s="34">
        <f>IF(C70="","",F69-D70)</f>
        <v/>
      </c>
    </row>
    <row r="71">
      <c r="B71" s="31" t="n">
        <v>65</v>
      </c>
      <c r="C71" s="32">
        <f>IF(65&gt;Calculator!C16*12,"",Calculator!F9)</f>
        <v/>
      </c>
      <c r="D71" s="32">
        <f>IF(C71="","",C71-E71)</f>
        <v/>
      </c>
      <c r="E71" s="32">
        <f>IF(C71="","",ROUND(F70*Calculator!C15/12,2))</f>
        <v/>
      </c>
      <c r="F71" s="32">
        <f>IF(C71="","",F70-D71)</f>
        <v/>
      </c>
    </row>
    <row r="72">
      <c r="B72" s="33" t="n">
        <v>66</v>
      </c>
      <c r="C72" s="34">
        <f>IF(66&gt;Calculator!C16*12,"",Calculator!F9)</f>
        <v/>
      </c>
      <c r="D72" s="34">
        <f>IF(C72="","",C72-E72)</f>
        <v/>
      </c>
      <c r="E72" s="34">
        <f>IF(C72="","",ROUND(F71*Calculator!C15/12,2))</f>
        <v/>
      </c>
      <c r="F72" s="34">
        <f>IF(C72="","",F71-D72)</f>
        <v/>
      </c>
    </row>
    <row r="73">
      <c r="B73" s="31" t="n">
        <v>67</v>
      </c>
      <c r="C73" s="32">
        <f>IF(67&gt;Calculator!C16*12,"",Calculator!F9)</f>
        <v/>
      </c>
      <c r="D73" s="32">
        <f>IF(C73="","",C73-E73)</f>
        <v/>
      </c>
      <c r="E73" s="32">
        <f>IF(C73="","",ROUND(F72*Calculator!C15/12,2))</f>
        <v/>
      </c>
      <c r="F73" s="32">
        <f>IF(C73="","",F72-D73)</f>
        <v/>
      </c>
    </row>
    <row r="74">
      <c r="B74" s="33" t="n">
        <v>68</v>
      </c>
      <c r="C74" s="34">
        <f>IF(68&gt;Calculator!C16*12,"",Calculator!F9)</f>
        <v/>
      </c>
      <c r="D74" s="34">
        <f>IF(C74="","",C74-E74)</f>
        <v/>
      </c>
      <c r="E74" s="34">
        <f>IF(C74="","",ROUND(F73*Calculator!C15/12,2))</f>
        <v/>
      </c>
      <c r="F74" s="34">
        <f>IF(C74="","",F73-D74)</f>
        <v/>
      </c>
    </row>
    <row r="75">
      <c r="B75" s="31" t="n">
        <v>69</v>
      </c>
      <c r="C75" s="32">
        <f>IF(69&gt;Calculator!C16*12,"",Calculator!F9)</f>
        <v/>
      </c>
      <c r="D75" s="32">
        <f>IF(C75="","",C75-E75)</f>
        <v/>
      </c>
      <c r="E75" s="32">
        <f>IF(C75="","",ROUND(F74*Calculator!C15/12,2))</f>
        <v/>
      </c>
      <c r="F75" s="32">
        <f>IF(C75="","",F74-D75)</f>
        <v/>
      </c>
    </row>
    <row r="76">
      <c r="B76" s="33" t="n">
        <v>70</v>
      </c>
      <c r="C76" s="34">
        <f>IF(70&gt;Calculator!C16*12,"",Calculator!F9)</f>
        <v/>
      </c>
      <c r="D76" s="34">
        <f>IF(C76="","",C76-E76)</f>
        <v/>
      </c>
      <c r="E76" s="34">
        <f>IF(C76="","",ROUND(F75*Calculator!C15/12,2))</f>
        <v/>
      </c>
      <c r="F76" s="34">
        <f>IF(C76="","",F75-D76)</f>
        <v/>
      </c>
    </row>
    <row r="77">
      <c r="B77" s="31" t="n">
        <v>71</v>
      </c>
      <c r="C77" s="32">
        <f>IF(71&gt;Calculator!C16*12,"",Calculator!F9)</f>
        <v/>
      </c>
      <c r="D77" s="32">
        <f>IF(C77="","",C77-E77)</f>
        <v/>
      </c>
      <c r="E77" s="32">
        <f>IF(C77="","",ROUND(F76*Calculator!C15/12,2))</f>
        <v/>
      </c>
      <c r="F77" s="32">
        <f>IF(C77="","",F76-D77)</f>
        <v/>
      </c>
    </row>
    <row r="78">
      <c r="B78" s="33" t="n">
        <v>72</v>
      </c>
      <c r="C78" s="34">
        <f>IF(72&gt;Calculator!C16*12,"",Calculator!F9)</f>
        <v/>
      </c>
      <c r="D78" s="34">
        <f>IF(C78="","",C78-E78)</f>
        <v/>
      </c>
      <c r="E78" s="34">
        <f>IF(C78="","",ROUND(F77*Calculator!C15/12,2))</f>
        <v/>
      </c>
      <c r="F78" s="34">
        <f>IF(C78="","",F77-D78)</f>
        <v/>
      </c>
    </row>
    <row r="79">
      <c r="B79" s="31" t="n">
        <v>73</v>
      </c>
      <c r="C79" s="32">
        <f>IF(73&gt;Calculator!C16*12,"",Calculator!F9)</f>
        <v/>
      </c>
      <c r="D79" s="32">
        <f>IF(C79="","",C79-E79)</f>
        <v/>
      </c>
      <c r="E79" s="32">
        <f>IF(C79="","",ROUND(F78*Calculator!C15/12,2))</f>
        <v/>
      </c>
      <c r="F79" s="32">
        <f>IF(C79="","",F78-D79)</f>
        <v/>
      </c>
    </row>
    <row r="80">
      <c r="B80" s="33" t="n">
        <v>74</v>
      </c>
      <c r="C80" s="34">
        <f>IF(74&gt;Calculator!C16*12,"",Calculator!F9)</f>
        <v/>
      </c>
      <c r="D80" s="34">
        <f>IF(C80="","",C80-E80)</f>
        <v/>
      </c>
      <c r="E80" s="34">
        <f>IF(C80="","",ROUND(F79*Calculator!C15/12,2))</f>
        <v/>
      </c>
      <c r="F80" s="34">
        <f>IF(C80="","",F79-D80)</f>
        <v/>
      </c>
    </row>
    <row r="81">
      <c r="B81" s="31" t="n">
        <v>75</v>
      </c>
      <c r="C81" s="32">
        <f>IF(75&gt;Calculator!C16*12,"",Calculator!F9)</f>
        <v/>
      </c>
      <c r="D81" s="32">
        <f>IF(C81="","",C81-E81)</f>
        <v/>
      </c>
      <c r="E81" s="32">
        <f>IF(C81="","",ROUND(F80*Calculator!C15/12,2))</f>
        <v/>
      </c>
      <c r="F81" s="32">
        <f>IF(C81="","",F80-D81)</f>
        <v/>
      </c>
    </row>
    <row r="82">
      <c r="B82" s="33" t="n">
        <v>76</v>
      </c>
      <c r="C82" s="34">
        <f>IF(76&gt;Calculator!C16*12,"",Calculator!F9)</f>
        <v/>
      </c>
      <c r="D82" s="34">
        <f>IF(C82="","",C82-E82)</f>
        <v/>
      </c>
      <c r="E82" s="34">
        <f>IF(C82="","",ROUND(F81*Calculator!C15/12,2))</f>
        <v/>
      </c>
      <c r="F82" s="34">
        <f>IF(C82="","",F81-D82)</f>
        <v/>
      </c>
    </row>
    <row r="83">
      <c r="B83" s="31" t="n">
        <v>77</v>
      </c>
      <c r="C83" s="32">
        <f>IF(77&gt;Calculator!C16*12,"",Calculator!F9)</f>
        <v/>
      </c>
      <c r="D83" s="32">
        <f>IF(C83="","",C83-E83)</f>
        <v/>
      </c>
      <c r="E83" s="32">
        <f>IF(C83="","",ROUND(F82*Calculator!C15/12,2))</f>
        <v/>
      </c>
      <c r="F83" s="32">
        <f>IF(C83="","",F82-D83)</f>
        <v/>
      </c>
    </row>
    <row r="84">
      <c r="B84" s="33" t="n">
        <v>78</v>
      </c>
      <c r="C84" s="34">
        <f>IF(78&gt;Calculator!C16*12,"",Calculator!F9)</f>
        <v/>
      </c>
      <c r="D84" s="34">
        <f>IF(C84="","",C84-E84)</f>
        <v/>
      </c>
      <c r="E84" s="34">
        <f>IF(C84="","",ROUND(F83*Calculator!C15/12,2))</f>
        <v/>
      </c>
      <c r="F84" s="34">
        <f>IF(C84="","",F83-D84)</f>
        <v/>
      </c>
    </row>
    <row r="85">
      <c r="B85" s="31" t="n">
        <v>79</v>
      </c>
      <c r="C85" s="32">
        <f>IF(79&gt;Calculator!C16*12,"",Calculator!F9)</f>
        <v/>
      </c>
      <c r="D85" s="32">
        <f>IF(C85="","",C85-E85)</f>
        <v/>
      </c>
      <c r="E85" s="32">
        <f>IF(C85="","",ROUND(F84*Calculator!C15/12,2))</f>
        <v/>
      </c>
      <c r="F85" s="32">
        <f>IF(C85="","",F84-D85)</f>
        <v/>
      </c>
    </row>
    <row r="86">
      <c r="B86" s="33" t="n">
        <v>80</v>
      </c>
      <c r="C86" s="34">
        <f>IF(80&gt;Calculator!C16*12,"",Calculator!F9)</f>
        <v/>
      </c>
      <c r="D86" s="34">
        <f>IF(C86="","",C86-E86)</f>
        <v/>
      </c>
      <c r="E86" s="34">
        <f>IF(C86="","",ROUND(F85*Calculator!C15/12,2))</f>
        <v/>
      </c>
      <c r="F86" s="34">
        <f>IF(C86="","",F85-D86)</f>
        <v/>
      </c>
    </row>
    <row r="87">
      <c r="B87" s="31" t="n">
        <v>81</v>
      </c>
      <c r="C87" s="32">
        <f>IF(81&gt;Calculator!C16*12,"",Calculator!F9)</f>
        <v/>
      </c>
      <c r="D87" s="32">
        <f>IF(C87="","",C87-E87)</f>
        <v/>
      </c>
      <c r="E87" s="32">
        <f>IF(C87="","",ROUND(F86*Calculator!C15/12,2))</f>
        <v/>
      </c>
      <c r="F87" s="32">
        <f>IF(C87="","",F86-D87)</f>
        <v/>
      </c>
    </row>
    <row r="88">
      <c r="B88" s="33" t="n">
        <v>82</v>
      </c>
      <c r="C88" s="34">
        <f>IF(82&gt;Calculator!C16*12,"",Calculator!F9)</f>
        <v/>
      </c>
      <c r="D88" s="34">
        <f>IF(C88="","",C88-E88)</f>
        <v/>
      </c>
      <c r="E88" s="34">
        <f>IF(C88="","",ROUND(F87*Calculator!C15/12,2))</f>
        <v/>
      </c>
      <c r="F88" s="34">
        <f>IF(C88="","",F87-D88)</f>
        <v/>
      </c>
    </row>
    <row r="89">
      <c r="B89" s="31" t="n">
        <v>83</v>
      </c>
      <c r="C89" s="32">
        <f>IF(83&gt;Calculator!C16*12,"",Calculator!F9)</f>
        <v/>
      </c>
      <c r="D89" s="32">
        <f>IF(C89="","",C89-E89)</f>
        <v/>
      </c>
      <c r="E89" s="32">
        <f>IF(C89="","",ROUND(F88*Calculator!C15/12,2))</f>
        <v/>
      </c>
      <c r="F89" s="32">
        <f>IF(C89="","",F88-D89)</f>
        <v/>
      </c>
    </row>
    <row r="90">
      <c r="B90" s="33" t="n">
        <v>84</v>
      </c>
      <c r="C90" s="34">
        <f>IF(84&gt;Calculator!C16*12,"",Calculator!F9)</f>
        <v/>
      </c>
      <c r="D90" s="34">
        <f>IF(C90="","",C90-E90)</f>
        <v/>
      </c>
      <c r="E90" s="34">
        <f>IF(C90="","",ROUND(F89*Calculator!C15/12,2))</f>
        <v/>
      </c>
      <c r="F90" s="34">
        <f>IF(C90="","",F89-D90)</f>
        <v/>
      </c>
    </row>
    <row r="91">
      <c r="B91" s="31" t="n">
        <v>85</v>
      </c>
      <c r="C91" s="32">
        <f>IF(85&gt;Calculator!C16*12,"",Calculator!F9)</f>
        <v/>
      </c>
      <c r="D91" s="32">
        <f>IF(C91="","",C91-E91)</f>
        <v/>
      </c>
      <c r="E91" s="32">
        <f>IF(C91="","",ROUND(F90*Calculator!C15/12,2))</f>
        <v/>
      </c>
      <c r="F91" s="32">
        <f>IF(C91="","",F90-D91)</f>
        <v/>
      </c>
    </row>
    <row r="92">
      <c r="B92" s="33" t="n">
        <v>86</v>
      </c>
      <c r="C92" s="34">
        <f>IF(86&gt;Calculator!C16*12,"",Calculator!F9)</f>
        <v/>
      </c>
      <c r="D92" s="34">
        <f>IF(C92="","",C92-E92)</f>
        <v/>
      </c>
      <c r="E92" s="34">
        <f>IF(C92="","",ROUND(F91*Calculator!C15/12,2))</f>
        <v/>
      </c>
      <c r="F92" s="34">
        <f>IF(C92="","",F91-D92)</f>
        <v/>
      </c>
    </row>
    <row r="93">
      <c r="B93" s="31" t="n">
        <v>87</v>
      </c>
      <c r="C93" s="32">
        <f>IF(87&gt;Calculator!C16*12,"",Calculator!F9)</f>
        <v/>
      </c>
      <c r="D93" s="32">
        <f>IF(C93="","",C93-E93)</f>
        <v/>
      </c>
      <c r="E93" s="32">
        <f>IF(C93="","",ROUND(F92*Calculator!C15/12,2))</f>
        <v/>
      </c>
      <c r="F93" s="32">
        <f>IF(C93="","",F92-D93)</f>
        <v/>
      </c>
    </row>
    <row r="94">
      <c r="B94" s="33" t="n">
        <v>88</v>
      </c>
      <c r="C94" s="34">
        <f>IF(88&gt;Calculator!C16*12,"",Calculator!F9)</f>
        <v/>
      </c>
      <c r="D94" s="34">
        <f>IF(C94="","",C94-E94)</f>
        <v/>
      </c>
      <c r="E94" s="34">
        <f>IF(C94="","",ROUND(F93*Calculator!C15/12,2))</f>
        <v/>
      </c>
      <c r="F94" s="34">
        <f>IF(C94="","",F93-D94)</f>
        <v/>
      </c>
    </row>
    <row r="95">
      <c r="B95" s="31" t="n">
        <v>89</v>
      </c>
      <c r="C95" s="32">
        <f>IF(89&gt;Calculator!C16*12,"",Calculator!F9)</f>
        <v/>
      </c>
      <c r="D95" s="32">
        <f>IF(C95="","",C95-E95)</f>
        <v/>
      </c>
      <c r="E95" s="32">
        <f>IF(C95="","",ROUND(F94*Calculator!C15/12,2))</f>
        <v/>
      </c>
      <c r="F95" s="32">
        <f>IF(C95="","",F94-D95)</f>
        <v/>
      </c>
    </row>
    <row r="96">
      <c r="B96" s="33" t="n">
        <v>90</v>
      </c>
      <c r="C96" s="34">
        <f>IF(90&gt;Calculator!C16*12,"",Calculator!F9)</f>
        <v/>
      </c>
      <c r="D96" s="34">
        <f>IF(C96="","",C96-E96)</f>
        <v/>
      </c>
      <c r="E96" s="34">
        <f>IF(C96="","",ROUND(F95*Calculator!C15/12,2))</f>
        <v/>
      </c>
      <c r="F96" s="34">
        <f>IF(C96="","",F95-D96)</f>
        <v/>
      </c>
    </row>
    <row r="97">
      <c r="B97" s="31" t="n">
        <v>91</v>
      </c>
      <c r="C97" s="32">
        <f>IF(91&gt;Calculator!C16*12,"",Calculator!F9)</f>
        <v/>
      </c>
      <c r="D97" s="32">
        <f>IF(C97="","",C97-E97)</f>
        <v/>
      </c>
      <c r="E97" s="32">
        <f>IF(C97="","",ROUND(F96*Calculator!C15/12,2))</f>
        <v/>
      </c>
      <c r="F97" s="32">
        <f>IF(C97="","",F96-D97)</f>
        <v/>
      </c>
    </row>
    <row r="98">
      <c r="B98" s="33" t="n">
        <v>92</v>
      </c>
      <c r="C98" s="34">
        <f>IF(92&gt;Calculator!C16*12,"",Calculator!F9)</f>
        <v/>
      </c>
      <c r="D98" s="34">
        <f>IF(C98="","",C98-E98)</f>
        <v/>
      </c>
      <c r="E98" s="34">
        <f>IF(C98="","",ROUND(F97*Calculator!C15/12,2))</f>
        <v/>
      </c>
      <c r="F98" s="34">
        <f>IF(C98="","",F97-D98)</f>
        <v/>
      </c>
    </row>
    <row r="99">
      <c r="B99" s="31" t="n">
        <v>93</v>
      </c>
      <c r="C99" s="32">
        <f>IF(93&gt;Calculator!C16*12,"",Calculator!F9)</f>
        <v/>
      </c>
      <c r="D99" s="32">
        <f>IF(C99="","",C99-E99)</f>
        <v/>
      </c>
      <c r="E99" s="32">
        <f>IF(C99="","",ROUND(F98*Calculator!C15/12,2))</f>
        <v/>
      </c>
      <c r="F99" s="32">
        <f>IF(C99="","",F98-D99)</f>
        <v/>
      </c>
    </row>
    <row r="100">
      <c r="B100" s="33" t="n">
        <v>94</v>
      </c>
      <c r="C100" s="34">
        <f>IF(94&gt;Calculator!C16*12,"",Calculator!F9)</f>
        <v/>
      </c>
      <c r="D100" s="34">
        <f>IF(C100="","",C100-E100)</f>
        <v/>
      </c>
      <c r="E100" s="34">
        <f>IF(C100="","",ROUND(F99*Calculator!C15/12,2))</f>
        <v/>
      </c>
      <c r="F100" s="34">
        <f>IF(C100="","",F99-D100)</f>
        <v/>
      </c>
    </row>
    <row r="101">
      <c r="B101" s="31" t="n">
        <v>95</v>
      </c>
      <c r="C101" s="32">
        <f>IF(95&gt;Calculator!C16*12,"",Calculator!F9)</f>
        <v/>
      </c>
      <c r="D101" s="32">
        <f>IF(C101="","",C101-E101)</f>
        <v/>
      </c>
      <c r="E101" s="32">
        <f>IF(C101="","",ROUND(F100*Calculator!C15/12,2))</f>
        <v/>
      </c>
      <c r="F101" s="32">
        <f>IF(C101="","",F100-D101)</f>
        <v/>
      </c>
    </row>
    <row r="102">
      <c r="B102" s="33" t="n">
        <v>96</v>
      </c>
      <c r="C102" s="34">
        <f>IF(96&gt;Calculator!C16*12,"",Calculator!F9)</f>
        <v/>
      </c>
      <c r="D102" s="34">
        <f>IF(C102="","",C102-E102)</f>
        <v/>
      </c>
      <c r="E102" s="34">
        <f>IF(C102="","",ROUND(F101*Calculator!C15/12,2))</f>
        <v/>
      </c>
      <c r="F102" s="34">
        <f>IF(C102="","",F101-D102)</f>
        <v/>
      </c>
    </row>
    <row r="103">
      <c r="B103" s="31" t="n">
        <v>97</v>
      </c>
      <c r="C103" s="32">
        <f>IF(97&gt;Calculator!C16*12,"",Calculator!F9)</f>
        <v/>
      </c>
      <c r="D103" s="32">
        <f>IF(C103="","",C103-E103)</f>
        <v/>
      </c>
      <c r="E103" s="32">
        <f>IF(C103="","",ROUND(F102*Calculator!C15/12,2))</f>
        <v/>
      </c>
      <c r="F103" s="32">
        <f>IF(C103="","",F102-D103)</f>
        <v/>
      </c>
    </row>
    <row r="104">
      <c r="B104" s="33" t="n">
        <v>98</v>
      </c>
      <c r="C104" s="34">
        <f>IF(98&gt;Calculator!C16*12,"",Calculator!F9)</f>
        <v/>
      </c>
      <c r="D104" s="34">
        <f>IF(C104="","",C104-E104)</f>
        <v/>
      </c>
      <c r="E104" s="34">
        <f>IF(C104="","",ROUND(F103*Calculator!C15/12,2))</f>
        <v/>
      </c>
      <c r="F104" s="34">
        <f>IF(C104="","",F103-D104)</f>
        <v/>
      </c>
    </row>
    <row r="105">
      <c r="B105" s="31" t="n">
        <v>99</v>
      </c>
      <c r="C105" s="32">
        <f>IF(99&gt;Calculator!C16*12,"",Calculator!F9)</f>
        <v/>
      </c>
      <c r="D105" s="32">
        <f>IF(C105="","",C105-E105)</f>
        <v/>
      </c>
      <c r="E105" s="32">
        <f>IF(C105="","",ROUND(F104*Calculator!C15/12,2))</f>
        <v/>
      </c>
      <c r="F105" s="32">
        <f>IF(C105="","",F104-D105)</f>
        <v/>
      </c>
    </row>
    <row r="106">
      <c r="B106" s="33" t="n">
        <v>100</v>
      </c>
      <c r="C106" s="34">
        <f>IF(100&gt;Calculator!C16*12,"",Calculator!F9)</f>
        <v/>
      </c>
      <c r="D106" s="34">
        <f>IF(C106="","",C106-E106)</f>
        <v/>
      </c>
      <c r="E106" s="34">
        <f>IF(C106="","",ROUND(F105*Calculator!C15/12,2))</f>
        <v/>
      </c>
      <c r="F106" s="34">
        <f>IF(C106="","",F105-D106)</f>
        <v/>
      </c>
    </row>
    <row r="107">
      <c r="B107" s="31" t="n">
        <v>101</v>
      </c>
      <c r="C107" s="32">
        <f>IF(101&gt;Calculator!C16*12,"",Calculator!F9)</f>
        <v/>
      </c>
      <c r="D107" s="32">
        <f>IF(C107="","",C107-E107)</f>
        <v/>
      </c>
      <c r="E107" s="32">
        <f>IF(C107="","",ROUND(F106*Calculator!C15/12,2))</f>
        <v/>
      </c>
      <c r="F107" s="32">
        <f>IF(C107="","",F106-D107)</f>
        <v/>
      </c>
    </row>
    <row r="108">
      <c r="B108" s="33" t="n">
        <v>102</v>
      </c>
      <c r="C108" s="34">
        <f>IF(102&gt;Calculator!C16*12,"",Calculator!F9)</f>
        <v/>
      </c>
      <c r="D108" s="34">
        <f>IF(C108="","",C108-E108)</f>
        <v/>
      </c>
      <c r="E108" s="34">
        <f>IF(C108="","",ROUND(F107*Calculator!C15/12,2))</f>
        <v/>
      </c>
      <c r="F108" s="34">
        <f>IF(C108="","",F107-D108)</f>
        <v/>
      </c>
    </row>
    <row r="109">
      <c r="B109" s="31" t="n">
        <v>103</v>
      </c>
      <c r="C109" s="32">
        <f>IF(103&gt;Calculator!C16*12,"",Calculator!F9)</f>
        <v/>
      </c>
      <c r="D109" s="32">
        <f>IF(C109="","",C109-E109)</f>
        <v/>
      </c>
      <c r="E109" s="32">
        <f>IF(C109="","",ROUND(F108*Calculator!C15/12,2))</f>
        <v/>
      </c>
      <c r="F109" s="32">
        <f>IF(C109="","",F108-D109)</f>
        <v/>
      </c>
    </row>
    <row r="110">
      <c r="B110" s="33" t="n">
        <v>104</v>
      </c>
      <c r="C110" s="34">
        <f>IF(104&gt;Calculator!C16*12,"",Calculator!F9)</f>
        <v/>
      </c>
      <c r="D110" s="34">
        <f>IF(C110="","",C110-E110)</f>
        <v/>
      </c>
      <c r="E110" s="34">
        <f>IF(C110="","",ROUND(F109*Calculator!C15/12,2))</f>
        <v/>
      </c>
      <c r="F110" s="34">
        <f>IF(C110="","",F109-D110)</f>
        <v/>
      </c>
    </row>
    <row r="111">
      <c r="B111" s="31" t="n">
        <v>105</v>
      </c>
      <c r="C111" s="32">
        <f>IF(105&gt;Calculator!C16*12,"",Calculator!F9)</f>
        <v/>
      </c>
      <c r="D111" s="32">
        <f>IF(C111="","",C111-E111)</f>
        <v/>
      </c>
      <c r="E111" s="32">
        <f>IF(C111="","",ROUND(F110*Calculator!C15/12,2))</f>
        <v/>
      </c>
      <c r="F111" s="32">
        <f>IF(C111="","",F110-D111)</f>
        <v/>
      </c>
    </row>
    <row r="112">
      <c r="B112" s="33" t="n">
        <v>106</v>
      </c>
      <c r="C112" s="34">
        <f>IF(106&gt;Calculator!C16*12,"",Calculator!F9)</f>
        <v/>
      </c>
      <c r="D112" s="34">
        <f>IF(C112="","",C112-E112)</f>
        <v/>
      </c>
      <c r="E112" s="34">
        <f>IF(C112="","",ROUND(F111*Calculator!C15/12,2))</f>
        <v/>
      </c>
      <c r="F112" s="34">
        <f>IF(C112="","",F111-D112)</f>
        <v/>
      </c>
    </row>
    <row r="113">
      <c r="B113" s="31" t="n">
        <v>107</v>
      </c>
      <c r="C113" s="32">
        <f>IF(107&gt;Calculator!C16*12,"",Calculator!F9)</f>
        <v/>
      </c>
      <c r="D113" s="32">
        <f>IF(C113="","",C113-E113)</f>
        <v/>
      </c>
      <c r="E113" s="32">
        <f>IF(C113="","",ROUND(F112*Calculator!C15/12,2))</f>
        <v/>
      </c>
      <c r="F113" s="32">
        <f>IF(C113="","",F112-D113)</f>
        <v/>
      </c>
    </row>
    <row r="114">
      <c r="B114" s="33" t="n">
        <v>108</v>
      </c>
      <c r="C114" s="34">
        <f>IF(108&gt;Calculator!C16*12,"",Calculator!F9)</f>
        <v/>
      </c>
      <c r="D114" s="34">
        <f>IF(C114="","",C114-E114)</f>
        <v/>
      </c>
      <c r="E114" s="34">
        <f>IF(C114="","",ROUND(F113*Calculator!C15/12,2))</f>
        <v/>
      </c>
      <c r="F114" s="34">
        <f>IF(C114="","",F113-D114)</f>
        <v/>
      </c>
    </row>
    <row r="115">
      <c r="B115" s="31" t="n">
        <v>109</v>
      </c>
      <c r="C115" s="32">
        <f>IF(109&gt;Calculator!C16*12,"",Calculator!F9)</f>
        <v/>
      </c>
      <c r="D115" s="32">
        <f>IF(C115="","",C115-E115)</f>
        <v/>
      </c>
      <c r="E115" s="32">
        <f>IF(C115="","",ROUND(F114*Calculator!C15/12,2))</f>
        <v/>
      </c>
      <c r="F115" s="32">
        <f>IF(C115="","",F114-D115)</f>
        <v/>
      </c>
    </row>
    <row r="116">
      <c r="B116" s="33" t="n">
        <v>110</v>
      </c>
      <c r="C116" s="34">
        <f>IF(110&gt;Calculator!C16*12,"",Calculator!F9)</f>
        <v/>
      </c>
      <c r="D116" s="34">
        <f>IF(C116="","",C116-E116)</f>
        <v/>
      </c>
      <c r="E116" s="34">
        <f>IF(C116="","",ROUND(F115*Calculator!C15/12,2))</f>
        <v/>
      </c>
      <c r="F116" s="34">
        <f>IF(C116="","",F115-D116)</f>
        <v/>
      </c>
    </row>
    <row r="117">
      <c r="B117" s="31" t="n">
        <v>111</v>
      </c>
      <c r="C117" s="32">
        <f>IF(111&gt;Calculator!C16*12,"",Calculator!F9)</f>
        <v/>
      </c>
      <c r="D117" s="32">
        <f>IF(C117="","",C117-E117)</f>
        <v/>
      </c>
      <c r="E117" s="32">
        <f>IF(C117="","",ROUND(F116*Calculator!C15/12,2))</f>
        <v/>
      </c>
      <c r="F117" s="32">
        <f>IF(C117="","",F116-D117)</f>
        <v/>
      </c>
    </row>
    <row r="118">
      <c r="B118" s="33" t="n">
        <v>112</v>
      </c>
      <c r="C118" s="34">
        <f>IF(112&gt;Calculator!C16*12,"",Calculator!F9)</f>
        <v/>
      </c>
      <c r="D118" s="34">
        <f>IF(C118="","",C118-E118)</f>
        <v/>
      </c>
      <c r="E118" s="34">
        <f>IF(C118="","",ROUND(F117*Calculator!C15/12,2))</f>
        <v/>
      </c>
      <c r="F118" s="34">
        <f>IF(C118="","",F117-D118)</f>
        <v/>
      </c>
    </row>
    <row r="119">
      <c r="B119" s="31" t="n">
        <v>113</v>
      </c>
      <c r="C119" s="32">
        <f>IF(113&gt;Calculator!C16*12,"",Calculator!F9)</f>
        <v/>
      </c>
      <c r="D119" s="32">
        <f>IF(C119="","",C119-E119)</f>
        <v/>
      </c>
      <c r="E119" s="32">
        <f>IF(C119="","",ROUND(F118*Calculator!C15/12,2))</f>
        <v/>
      </c>
      <c r="F119" s="32">
        <f>IF(C119="","",F118-D119)</f>
        <v/>
      </c>
    </row>
    <row r="120">
      <c r="B120" s="33" t="n">
        <v>114</v>
      </c>
      <c r="C120" s="34">
        <f>IF(114&gt;Calculator!C16*12,"",Calculator!F9)</f>
        <v/>
      </c>
      <c r="D120" s="34">
        <f>IF(C120="","",C120-E120)</f>
        <v/>
      </c>
      <c r="E120" s="34">
        <f>IF(C120="","",ROUND(F119*Calculator!C15/12,2))</f>
        <v/>
      </c>
      <c r="F120" s="34">
        <f>IF(C120="","",F119-D120)</f>
        <v/>
      </c>
    </row>
    <row r="121">
      <c r="B121" s="31" t="n">
        <v>115</v>
      </c>
      <c r="C121" s="32">
        <f>IF(115&gt;Calculator!C16*12,"",Calculator!F9)</f>
        <v/>
      </c>
      <c r="D121" s="32">
        <f>IF(C121="","",C121-E121)</f>
        <v/>
      </c>
      <c r="E121" s="32">
        <f>IF(C121="","",ROUND(F120*Calculator!C15/12,2))</f>
        <v/>
      </c>
      <c r="F121" s="32">
        <f>IF(C121="","",F120-D121)</f>
        <v/>
      </c>
    </row>
    <row r="122">
      <c r="B122" s="33" t="n">
        <v>116</v>
      </c>
      <c r="C122" s="34">
        <f>IF(116&gt;Calculator!C16*12,"",Calculator!F9)</f>
        <v/>
      </c>
      <c r="D122" s="34">
        <f>IF(C122="","",C122-E122)</f>
        <v/>
      </c>
      <c r="E122" s="34">
        <f>IF(C122="","",ROUND(F121*Calculator!C15/12,2))</f>
        <v/>
      </c>
      <c r="F122" s="34">
        <f>IF(C122="","",F121-D122)</f>
        <v/>
      </c>
    </row>
    <row r="123">
      <c r="B123" s="31" t="n">
        <v>117</v>
      </c>
      <c r="C123" s="32">
        <f>IF(117&gt;Calculator!C16*12,"",Calculator!F9)</f>
        <v/>
      </c>
      <c r="D123" s="32">
        <f>IF(C123="","",C123-E123)</f>
        <v/>
      </c>
      <c r="E123" s="32">
        <f>IF(C123="","",ROUND(F122*Calculator!C15/12,2))</f>
        <v/>
      </c>
      <c r="F123" s="32">
        <f>IF(C123="","",F122-D123)</f>
        <v/>
      </c>
    </row>
    <row r="124">
      <c r="B124" s="33" t="n">
        <v>118</v>
      </c>
      <c r="C124" s="34">
        <f>IF(118&gt;Calculator!C16*12,"",Calculator!F9)</f>
        <v/>
      </c>
      <c r="D124" s="34">
        <f>IF(C124="","",C124-E124)</f>
        <v/>
      </c>
      <c r="E124" s="34">
        <f>IF(C124="","",ROUND(F123*Calculator!C15/12,2))</f>
        <v/>
      </c>
      <c r="F124" s="34">
        <f>IF(C124="","",F123-D124)</f>
        <v/>
      </c>
    </row>
    <row r="125">
      <c r="B125" s="31" t="n">
        <v>119</v>
      </c>
      <c r="C125" s="32">
        <f>IF(119&gt;Calculator!C16*12,"",Calculator!F9)</f>
        <v/>
      </c>
      <c r="D125" s="32">
        <f>IF(C125="","",C125-E125)</f>
        <v/>
      </c>
      <c r="E125" s="32">
        <f>IF(C125="","",ROUND(F124*Calculator!C15/12,2))</f>
        <v/>
      </c>
      <c r="F125" s="32">
        <f>IF(C125="","",F124-D125)</f>
        <v/>
      </c>
    </row>
    <row r="126">
      <c r="B126" s="33" t="n">
        <v>120</v>
      </c>
      <c r="C126" s="34">
        <f>IF(120&gt;Calculator!C16*12,"",Calculator!F9)</f>
        <v/>
      </c>
      <c r="D126" s="34">
        <f>IF(C126="","",C126-E126)</f>
        <v/>
      </c>
      <c r="E126" s="34">
        <f>IF(C126="","",ROUND(F125*Calculator!C15/12,2))</f>
        <v/>
      </c>
      <c r="F126" s="34">
        <f>IF(C126="","",F125-D126)</f>
        <v/>
      </c>
    </row>
    <row r="127">
      <c r="B127" s="31" t="n">
        <v>121</v>
      </c>
      <c r="C127" s="32">
        <f>IF(121&gt;Calculator!C16*12,"",Calculator!F9)</f>
        <v/>
      </c>
      <c r="D127" s="32">
        <f>IF(C127="","",C127-E127)</f>
        <v/>
      </c>
      <c r="E127" s="32">
        <f>IF(C127="","",ROUND(F126*Calculator!C15/12,2))</f>
        <v/>
      </c>
      <c r="F127" s="32">
        <f>IF(C127="","",F126-D127)</f>
        <v/>
      </c>
    </row>
    <row r="128">
      <c r="B128" s="33" t="n">
        <v>122</v>
      </c>
      <c r="C128" s="34">
        <f>IF(122&gt;Calculator!C16*12,"",Calculator!F9)</f>
        <v/>
      </c>
      <c r="D128" s="34">
        <f>IF(C128="","",C128-E128)</f>
        <v/>
      </c>
      <c r="E128" s="34">
        <f>IF(C128="","",ROUND(F127*Calculator!C15/12,2))</f>
        <v/>
      </c>
      <c r="F128" s="34">
        <f>IF(C128="","",F127-D128)</f>
        <v/>
      </c>
    </row>
    <row r="129">
      <c r="B129" s="31" t="n">
        <v>123</v>
      </c>
      <c r="C129" s="32">
        <f>IF(123&gt;Calculator!C16*12,"",Calculator!F9)</f>
        <v/>
      </c>
      <c r="D129" s="32">
        <f>IF(C129="","",C129-E129)</f>
        <v/>
      </c>
      <c r="E129" s="32">
        <f>IF(C129="","",ROUND(F128*Calculator!C15/12,2))</f>
        <v/>
      </c>
      <c r="F129" s="32">
        <f>IF(C129="","",F128-D129)</f>
        <v/>
      </c>
    </row>
    <row r="130">
      <c r="B130" s="33" t="n">
        <v>124</v>
      </c>
      <c r="C130" s="34">
        <f>IF(124&gt;Calculator!C16*12,"",Calculator!F9)</f>
        <v/>
      </c>
      <c r="D130" s="34">
        <f>IF(C130="","",C130-E130)</f>
        <v/>
      </c>
      <c r="E130" s="34">
        <f>IF(C130="","",ROUND(F129*Calculator!C15/12,2))</f>
        <v/>
      </c>
      <c r="F130" s="34">
        <f>IF(C130="","",F129-D130)</f>
        <v/>
      </c>
    </row>
    <row r="131">
      <c r="B131" s="31" t="n">
        <v>125</v>
      </c>
      <c r="C131" s="32">
        <f>IF(125&gt;Calculator!C16*12,"",Calculator!F9)</f>
        <v/>
      </c>
      <c r="D131" s="32">
        <f>IF(C131="","",C131-E131)</f>
        <v/>
      </c>
      <c r="E131" s="32">
        <f>IF(C131="","",ROUND(F130*Calculator!C15/12,2))</f>
        <v/>
      </c>
      <c r="F131" s="32">
        <f>IF(C131="","",F130-D131)</f>
        <v/>
      </c>
    </row>
    <row r="132">
      <c r="B132" s="33" t="n">
        <v>126</v>
      </c>
      <c r="C132" s="34">
        <f>IF(126&gt;Calculator!C16*12,"",Calculator!F9)</f>
        <v/>
      </c>
      <c r="D132" s="34">
        <f>IF(C132="","",C132-E132)</f>
        <v/>
      </c>
      <c r="E132" s="34">
        <f>IF(C132="","",ROUND(F131*Calculator!C15/12,2))</f>
        <v/>
      </c>
      <c r="F132" s="34">
        <f>IF(C132="","",F131-D132)</f>
        <v/>
      </c>
    </row>
    <row r="133">
      <c r="B133" s="31" t="n">
        <v>127</v>
      </c>
      <c r="C133" s="32">
        <f>IF(127&gt;Calculator!C16*12,"",Calculator!F9)</f>
        <v/>
      </c>
      <c r="D133" s="32">
        <f>IF(C133="","",C133-E133)</f>
        <v/>
      </c>
      <c r="E133" s="32">
        <f>IF(C133="","",ROUND(F132*Calculator!C15/12,2))</f>
        <v/>
      </c>
      <c r="F133" s="32">
        <f>IF(C133="","",F132-D133)</f>
        <v/>
      </c>
    </row>
    <row r="134">
      <c r="B134" s="33" t="n">
        <v>128</v>
      </c>
      <c r="C134" s="34">
        <f>IF(128&gt;Calculator!C16*12,"",Calculator!F9)</f>
        <v/>
      </c>
      <c r="D134" s="34">
        <f>IF(C134="","",C134-E134)</f>
        <v/>
      </c>
      <c r="E134" s="34">
        <f>IF(C134="","",ROUND(F133*Calculator!C15/12,2))</f>
        <v/>
      </c>
      <c r="F134" s="34">
        <f>IF(C134="","",F133-D134)</f>
        <v/>
      </c>
    </row>
    <row r="135">
      <c r="B135" s="31" t="n">
        <v>129</v>
      </c>
      <c r="C135" s="32">
        <f>IF(129&gt;Calculator!C16*12,"",Calculator!F9)</f>
        <v/>
      </c>
      <c r="D135" s="32">
        <f>IF(C135="","",C135-E135)</f>
        <v/>
      </c>
      <c r="E135" s="32">
        <f>IF(C135="","",ROUND(F134*Calculator!C15/12,2))</f>
        <v/>
      </c>
      <c r="F135" s="32">
        <f>IF(C135="","",F134-D135)</f>
        <v/>
      </c>
    </row>
    <row r="136">
      <c r="B136" s="33" t="n">
        <v>130</v>
      </c>
      <c r="C136" s="34">
        <f>IF(130&gt;Calculator!C16*12,"",Calculator!F9)</f>
        <v/>
      </c>
      <c r="D136" s="34">
        <f>IF(C136="","",C136-E136)</f>
        <v/>
      </c>
      <c r="E136" s="34">
        <f>IF(C136="","",ROUND(F135*Calculator!C15/12,2))</f>
        <v/>
      </c>
      <c r="F136" s="34">
        <f>IF(C136="","",F135-D136)</f>
        <v/>
      </c>
    </row>
    <row r="137">
      <c r="B137" s="31" t="n">
        <v>131</v>
      </c>
      <c r="C137" s="32">
        <f>IF(131&gt;Calculator!C16*12,"",Calculator!F9)</f>
        <v/>
      </c>
      <c r="D137" s="32">
        <f>IF(C137="","",C137-E137)</f>
        <v/>
      </c>
      <c r="E137" s="32">
        <f>IF(C137="","",ROUND(F136*Calculator!C15/12,2))</f>
        <v/>
      </c>
      <c r="F137" s="32">
        <f>IF(C137="","",F136-D137)</f>
        <v/>
      </c>
    </row>
    <row r="138">
      <c r="B138" s="33" t="n">
        <v>132</v>
      </c>
      <c r="C138" s="34">
        <f>IF(132&gt;Calculator!C16*12,"",Calculator!F9)</f>
        <v/>
      </c>
      <c r="D138" s="34">
        <f>IF(C138="","",C138-E138)</f>
        <v/>
      </c>
      <c r="E138" s="34">
        <f>IF(C138="","",ROUND(F137*Calculator!C15/12,2))</f>
        <v/>
      </c>
      <c r="F138" s="34">
        <f>IF(C138="","",F137-D138)</f>
        <v/>
      </c>
    </row>
    <row r="139">
      <c r="B139" s="31" t="n">
        <v>133</v>
      </c>
      <c r="C139" s="32">
        <f>IF(133&gt;Calculator!C16*12,"",Calculator!F9)</f>
        <v/>
      </c>
      <c r="D139" s="32">
        <f>IF(C139="","",C139-E139)</f>
        <v/>
      </c>
      <c r="E139" s="32">
        <f>IF(C139="","",ROUND(F138*Calculator!C15/12,2))</f>
        <v/>
      </c>
      <c r="F139" s="32">
        <f>IF(C139="","",F138-D139)</f>
        <v/>
      </c>
    </row>
    <row r="140">
      <c r="B140" s="33" t="n">
        <v>134</v>
      </c>
      <c r="C140" s="34">
        <f>IF(134&gt;Calculator!C16*12,"",Calculator!F9)</f>
        <v/>
      </c>
      <c r="D140" s="34">
        <f>IF(C140="","",C140-E140)</f>
        <v/>
      </c>
      <c r="E140" s="34">
        <f>IF(C140="","",ROUND(F139*Calculator!C15/12,2))</f>
        <v/>
      </c>
      <c r="F140" s="34">
        <f>IF(C140="","",F139-D140)</f>
        <v/>
      </c>
    </row>
    <row r="141">
      <c r="B141" s="31" t="n">
        <v>135</v>
      </c>
      <c r="C141" s="32">
        <f>IF(135&gt;Calculator!C16*12,"",Calculator!F9)</f>
        <v/>
      </c>
      <c r="D141" s="32">
        <f>IF(C141="","",C141-E141)</f>
        <v/>
      </c>
      <c r="E141" s="32">
        <f>IF(C141="","",ROUND(F140*Calculator!C15/12,2))</f>
        <v/>
      </c>
      <c r="F141" s="32">
        <f>IF(C141="","",F140-D141)</f>
        <v/>
      </c>
    </row>
    <row r="142">
      <c r="B142" s="33" t="n">
        <v>136</v>
      </c>
      <c r="C142" s="34">
        <f>IF(136&gt;Calculator!C16*12,"",Calculator!F9)</f>
        <v/>
      </c>
      <c r="D142" s="34">
        <f>IF(C142="","",C142-E142)</f>
        <v/>
      </c>
      <c r="E142" s="34">
        <f>IF(C142="","",ROUND(F141*Calculator!C15/12,2))</f>
        <v/>
      </c>
      <c r="F142" s="34">
        <f>IF(C142="","",F141-D142)</f>
        <v/>
      </c>
    </row>
    <row r="143">
      <c r="B143" s="31" t="n">
        <v>137</v>
      </c>
      <c r="C143" s="32">
        <f>IF(137&gt;Calculator!C16*12,"",Calculator!F9)</f>
        <v/>
      </c>
      <c r="D143" s="32">
        <f>IF(C143="","",C143-E143)</f>
        <v/>
      </c>
      <c r="E143" s="32">
        <f>IF(C143="","",ROUND(F142*Calculator!C15/12,2))</f>
        <v/>
      </c>
      <c r="F143" s="32">
        <f>IF(C143="","",F142-D143)</f>
        <v/>
      </c>
    </row>
    <row r="144">
      <c r="B144" s="33" t="n">
        <v>138</v>
      </c>
      <c r="C144" s="34">
        <f>IF(138&gt;Calculator!C16*12,"",Calculator!F9)</f>
        <v/>
      </c>
      <c r="D144" s="34">
        <f>IF(C144="","",C144-E144)</f>
        <v/>
      </c>
      <c r="E144" s="34">
        <f>IF(C144="","",ROUND(F143*Calculator!C15/12,2))</f>
        <v/>
      </c>
      <c r="F144" s="34">
        <f>IF(C144="","",F143-D144)</f>
        <v/>
      </c>
    </row>
    <row r="145">
      <c r="B145" s="31" t="n">
        <v>139</v>
      </c>
      <c r="C145" s="32">
        <f>IF(139&gt;Calculator!C16*12,"",Calculator!F9)</f>
        <v/>
      </c>
      <c r="D145" s="32">
        <f>IF(C145="","",C145-E145)</f>
        <v/>
      </c>
      <c r="E145" s="32">
        <f>IF(C145="","",ROUND(F144*Calculator!C15/12,2))</f>
        <v/>
      </c>
      <c r="F145" s="32">
        <f>IF(C145="","",F144-D145)</f>
        <v/>
      </c>
    </row>
    <row r="146">
      <c r="B146" s="33" t="n">
        <v>140</v>
      </c>
      <c r="C146" s="34">
        <f>IF(140&gt;Calculator!C16*12,"",Calculator!F9)</f>
        <v/>
      </c>
      <c r="D146" s="34">
        <f>IF(C146="","",C146-E146)</f>
        <v/>
      </c>
      <c r="E146" s="34">
        <f>IF(C146="","",ROUND(F145*Calculator!C15/12,2))</f>
        <v/>
      </c>
      <c r="F146" s="34">
        <f>IF(C146="","",F145-D146)</f>
        <v/>
      </c>
    </row>
    <row r="147">
      <c r="B147" s="31" t="n">
        <v>141</v>
      </c>
      <c r="C147" s="32">
        <f>IF(141&gt;Calculator!C16*12,"",Calculator!F9)</f>
        <v/>
      </c>
      <c r="D147" s="32">
        <f>IF(C147="","",C147-E147)</f>
        <v/>
      </c>
      <c r="E147" s="32">
        <f>IF(C147="","",ROUND(F146*Calculator!C15/12,2))</f>
        <v/>
      </c>
      <c r="F147" s="32">
        <f>IF(C147="","",F146-D147)</f>
        <v/>
      </c>
    </row>
    <row r="148">
      <c r="B148" s="33" t="n">
        <v>142</v>
      </c>
      <c r="C148" s="34">
        <f>IF(142&gt;Calculator!C16*12,"",Calculator!F9)</f>
        <v/>
      </c>
      <c r="D148" s="34">
        <f>IF(C148="","",C148-E148)</f>
        <v/>
      </c>
      <c r="E148" s="34">
        <f>IF(C148="","",ROUND(F147*Calculator!C15/12,2))</f>
        <v/>
      </c>
      <c r="F148" s="34">
        <f>IF(C148="","",F147-D148)</f>
        <v/>
      </c>
    </row>
    <row r="149">
      <c r="B149" s="31" t="n">
        <v>143</v>
      </c>
      <c r="C149" s="32">
        <f>IF(143&gt;Calculator!C16*12,"",Calculator!F9)</f>
        <v/>
      </c>
      <c r="D149" s="32">
        <f>IF(C149="","",C149-E149)</f>
        <v/>
      </c>
      <c r="E149" s="32">
        <f>IF(C149="","",ROUND(F148*Calculator!C15/12,2))</f>
        <v/>
      </c>
      <c r="F149" s="32">
        <f>IF(C149="","",F148-D149)</f>
        <v/>
      </c>
    </row>
    <row r="150">
      <c r="B150" s="33" t="n">
        <v>144</v>
      </c>
      <c r="C150" s="34">
        <f>IF(144&gt;Calculator!C16*12,"",Calculator!F9)</f>
        <v/>
      </c>
      <c r="D150" s="34">
        <f>IF(C150="","",C150-E150)</f>
        <v/>
      </c>
      <c r="E150" s="34">
        <f>IF(C150="","",ROUND(F149*Calculator!C15/12,2))</f>
        <v/>
      </c>
      <c r="F150" s="34">
        <f>IF(C150="","",F149-D150)</f>
        <v/>
      </c>
    </row>
    <row r="151">
      <c r="B151" s="31" t="n">
        <v>145</v>
      </c>
      <c r="C151" s="32">
        <f>IF(145&gt;Calculator!C16*12,"",Calculator!F9)</f>
        <v/>
      </c>
      <c r="D151" s="32">
        <f>IF(C151="","",C151-E151)</f>
        <v/>
      </c>
      <c r="E151" s="32">
        <f>IF(C151="","",ROUND(F150*Calculator!C15/12,2))</f>
        <v/>
      </c>
      <c r="F151" s="32">
        <f>IF(C151="","",F150-D151)</f>
        <v/>
      </c>
    </row>
    <row r="152">
      <c r="B152" s="33" t="n">
        <v>146</v>
      </c>
      <c r="C152" s="34">
        <f>IF(146&gt;Calculator!C16*12,"",Calculator!F9)</f>
        <v/>
      </c>
      <c r="D152" s="34">
        <f>IF(C152="","",C152-E152)</f>
        <v/>
      </c>
      <c r="E152" s="34">
        <f>IF(C152="","",ROUND(F151*Calculator!C15/12,2))</f>
        <v/>
      </c>
      <c r="F152" s="34">
        <f>IF(C152="","",F151-D152)</f>
        <v/>
      </c>
    </row>
    <row r="153">
      <c r="B153" s="31" t="n">
        <v>147</v>
      </c>
      <c r="C153" s="32">
        <f>IF(147&gt;Calculator!C16*12,"",Calculator!F9)</f>
        <v/>
      </c>
      <c r="D153" s="32">
        <f>IF(C153="","",C153-E153)</f>
        <v/>
      </c>
      <c r="E153" s="32">
        <f>IF(C153="","",ROUND(F152*Calculator!C15/12,2))</f>
        <v/>
      </c>
      <c r="F153" s="32">
        <f>IF(C153="","",F152-D153)</f>
        <v/>
      </c>
    </row>
    <row r="154">
      <c r="B154" s="33" t="n">
        <v>148</v>
      </c>
      <c r="C154" s="34">
        <f>IF(148&gt;Calculator!C16*12,"",Calculator!F9)</f>
        <v/>
      </c>
      <c r="D154" s="34">
        <f>IF(C154="","",C154-E154)</f>
        <v/>
      </c>
      <c r="E154" s="34">
        <f>IF(C154="","",ROUND(F153*Calculator!C15/12,2))</f>
        <v/>
      </c>
      <c r="F154" s="34">
        <f>IF(C154="","",F153-D154)</f>
        <v/>
      </c>
    </row>
    <row r="155">
      <c r="B155" s="31" t="n">
        <v>149</v>
      </c>
      <c r="C155" s="32">
        <f>IF(149&gt;Calculator!C16*12,"",Calculator!F9)</f>
        <v/>
      </c>
      <c r="D155" s="32">
        <f>IF(C155="","",C155-E155)</f>
        <v/>
      </c>
      <c r="E155" s="32">
        <f>IF(C155="","",ROUND(F154*Calculator!C15/12,2))</f>
        <v/>
      </c>
      <c r="F155" s="32">
        <f>IF(C155="","",F154-D155)</f>
        <v/>
      </c>
    </row>
    <row r="156">
      <c r="B156" s="33" t="n">
        <v>150</v>
      </c>
      <c r="C156" s="34">
        <f>IF(150&gt;Calculator!C16*12,"",Calculator!F9)</f>
        <v/>
      </c>
      <c r="D156" s="34">
        <f>IF(C156="","",C156-E156)</f>
        <v/>
      </c>
      <c r="E156" s="34">
        <f>IF(C156="","",ROUND(F155*Calculator!C15/12,2))</f>
        <v/>
      </c>
      <c r="F156" s="34">
        <f>IF(C156="","",F155-D156)</f>
        <v/>
      </c>
    </row>
    <row r="157">
      <c r="B157" s="31" t="n">
        <v>151</v>
      </c>
      <c r="C157" s="32">
        <f>IF(151&gt;Calculator!C16*12,"",Calculator!F9)</f>
        <v/>
      </c>
      <c r="D157" s="32">
        <f>IF(C157="","",C157-E157)</f>
        <v/>
      </c>
      <c r="E157" s="32">
        <f>IF(C157="","",ROUND(F156*Calculator!C15/12,2))</f>
        <v/>
      </c>
      <c r="F157" s="32">
        <f>IF(C157="","",F156-D157)</f>
        <v/>
      </c>
    </row>
    <row r="158">
      <c r="B158" s="33" t="n">
        <v>152</v>
      </c>
      <c r="C158" s="34">
        <f>IF(152&gt;Calculator!C16*12,"",Calculator!F9)</f>
        <v/>
      </c>
      <c r="D158" s="34">
        <f>IF(C158="","",C158-E158)</f>
        <v/>
      </c>
      <c r="E158" s="34">
        <f>IF(C158="","",ROUND(F157*Calculator!C15/12,2))</f>
        <v/>
      </c>
      <c r="F158" s="34">
        <f>IF(C158="","",F157-D158)</f>
        <v/>
      </c>
    </row>
    <row r="159">
      <c r="B159" s="31" t="n">
        <v>153</v>
      </c>
      <c r="C159" s="32">
        <f>IF(153&gt;Calculator!C16*12,"",Calculator!F9)</f>
        <v/>
      </c>
      <c r="D159" s="32">
        <f>IF(C159="","",C159-E159)</f>
        <v/>
      </c>
      <c r="E159" s="32">
        <f>IF(C159="","",ROUND(F158*Calculator!C15/12,2))</f>
        <v/>
      </c>
      <c r="F159" s="32">
        <f>IF(C159="","",F158-D159)</f>
        <v/>
      </c>
    </row>
    <row r="160">
      <c r="B160" s="33" t="n">
        <v>154</v>
      </c>
      <c r="C160" s="34">
        <f>IF(154&gt;Calculator!C16*12,"",Calculator!F9)</f>
        <v/>
      </c>
      <c r="D160" s="34">
        <f>IF(C160="","",C160-E160)</f>
        <v/>
      </c>
      <c r="E160" s="34">
        <f>IF(C160="","",ROUND(F159*Calculator!C15/12,2))</f>
        <v/>
      </c>
      <c r="F160" s="34">
        <f>IF(C160="","",F159-D160)</f>
        <v/>
      </c>
    </row>
    <row r="161">
      <c r="B161" s="31" t="n">
        <v>155</v>
      </c>
      <c r="C161" s="32">
        <f>IF(155&gt;Calculator!C16*12,"",Calculator!F9)</f>
        <v/>
      </c>
      <c r="D161" s="32">
        <f>IF(C161="","",C161-E161)</f>
        <v/>
      </c>
      <c r="E161" s="32">
        <f>IF(C161="","",ROUND(F160*Calculator!C15/12,2))</f>
        <v/>
      </c>
      <c r="F161" s="32">
        <f>IF(C161="","",F160-D161)</f>
        <v/>
      </c>
    </row>
    <row r="162">
      <c r="B162" s="33" t="n">
        <v>156</v>
      </c>
      <c r="C162" s="34">
        <f>IF(156&gt;Calculator!C16*12,"",Calculator!F9)</f>
        <v/>
      </c>
      <c r="D162" s="34">
        <f>IF(C162="","",C162-E162)</f>
        <v/>
      </c>
      <c r="E162" s="34">
        <f>IF(C162="","",ROUND(F161*Calculator!C15/12,2))</f>
        <v/>
      </c>
      <c r="F162" s="34">
        <f>IF(C162="","",F161-D162)</f>
        <v/>
      </c>
    </row>
    <row r="163">
      <c r="B163" s="31" t="n">
        <v>157</v>
      </c>
      <c r="C163" s="32">
        <f>IF(157&gt;Calculator!C16*12,"",Calculator!F9)</f>
        <v/>
      </c>
      <c r="D163" s="32">
        <f>IF(C163="","",C163-E163)</f>
        <v/>
      </c>
      <c r="E163" s="32">
        <f>IF(C163="","",ROUND(F162*Calculator!C15/12,2))</f>
        <v/>
      </c>
      <c r="F163" s="32">
        <f>IF(C163="","",F162-D163)</f>
        <v/>
      </c>
    </row>
    <row r="164">
      <c r="B164" s="33" t="n">
        <v>158</v>
      </c>
      <c r="C164" s="34">
        <f>IF(158&gt;Calculator!C16*12,"",Calculator!F9)</f>
        <v/>
      </c>
      <c r="D164" s="34">
        <f>IF(C164="","",C164-E164)</f>
        <v/>
      </c>
      <c r="E164" s="34">
        <f>IF(C164="","",ROUND(F163*Calculator!C15/12,2))</f>
        <v/>
      </c>
      <c r="F164" s="34">
        <f>IF(C164="","",F163-D164)</f>
        <v/>
      </c>
    </row>
    <row r="165">
      <c r="B165" s="31" t="n">
        <v>159</v>
      </c>
      <c r="C165" s="32">
        <f>IF(159&gt;Calculator!C16*12,"",Calculator!F9)</f>
        <v/>
      </c>
      <c r="D165" s="32">
        <f>IF(C165="","",C165-E165)</f>
        <v/>
      </c>
      <c r="E165" s="32">
        <f>IF(C165="","",ROUND(F164*Calculator!C15/12,2))</f>
        <v/>
      </c>
      <c r="F165" s="32">
        <f>IF(C165="","",F164-D165)</f>
        <v/>
      </c>
    </row>
    <row r="166">
      <c r="B166" s="33" t="n">
        <v>160</v>
      </c>
      <c r="C166" s="34">
        <f>IF(160&gt;Calculator!C16*12,"",Calculator!F9)</f>
        <v/>
      </c>
      <c r="D166" s="34">
        <f>IF(C166="","",C166-E166)</f>
        <v/>
      </c>
      <c r="E166" s="34">
        <f>IF(C166="","",ROUND(F165*Calculator!C15/12,2))</f>
        <v/>
      </c>
      <c r="F166" s="34">
        <f>IF(C166="","",F165-D166)</f>
        <v/>
      </c>
    </row>
    <row r="167">
      <c r="B167" s="31" t="n">
        <v>161</v>
      </c>
      <c r="C167" s="32">
        <f>IF(161&gt;Calculator!C16*12,"",Calculator!F9)</f>
        <v/>
      </c>
      <c r="D167" s="32">
        <f>IF(C167="","",C167-E167)</f>
        <v/>
      </c>
      <c r="E167" s="32">
        <f>IF(C167="","",ROUND(F166*Calculator!C15/12,2))</f>
        <v/>
      </c>
      <c r="F167" s="32">
        <f>IF(C167="","",F166-D167)</f>
        <v/>
      </c>
    </row>
    <row r="168">
      <c r="B168" s="33" t="n">
        <v>162</v>
      </c>
      <c r="C168" s="34">
        <f>IF(162&gt;Calculator!C16*12,"",Calculator!F9)</f>
        <v/>
      </c>
      <c r="D168" s="34">
        <f>IF(C168="","",C168-E168)</f>
        <v/>
      </c>
      <c r="E168" s="34">
        <f>IF(C168="","",ROUND(F167*Calculator!C15/12,2))</f>
        <v/>
      </c>
      <c r="F168" s="34">
        <f>IF(C168="","",F167-D168)</f>
        <v/>
      </c>
    </row>
    <row r="169">
      <c r="B169" s="31" t="n">
        <v>163</v>
      </c>
      <c r="C169" s="32">
        <f>IF(163&gt;Calculator!C16*12,"",Calculator!F9)</f>
        <v/>
      </c>
      <c r="D169" s="32">
        <f>IF(C169="","",C169-E169)</f>
        <v/>
      </c>
      <c r="E169" s="32">
        <f>IF(C169="","",ROUND(F168*Calculator!C15/12,2))</f>
        <v/>
      </c>
      <c r="F169" s="32">
        <f>IF(C169="","",F168-D169)</f>
        <v/>
      </c>
    </row>
    <row r="170">
      <c r="B170" s="33" t="n">
        <v>164</v>
      </c>
      <c r="C170" s="34">
        <f>IF(164&gt;Calculator!C16*12,"",Calculator!F9)</f>
        <v/>
      </c>
      <c r="D170" s="34">
        <f>IF(C170="","",C170-E170)</f>
        <v/>
      </c>
      <c r="E170" s="34">
        <f>IF(C170="","",ROUND(F169*Calculator!C15/12,2))</f>
        <v/>
      </c>
      <c r="F170" s="34">
        <f>IF(C170="","",F169-D170)</f>
        <v/>
      </c>
    </row>
    <row r="171">
      <c r="B171" s="31" t="n">
        <v>165</v>
      </c>
      <c r="C171" s="32">
        <f>IF(165&gt;Calculator!C16*12,"",Calculator!F9)</f>
        <v/>
      </c>
      <c r="D171" s="32">
        <f>IF(C171="","",C171-E171)</f>
        <v/>
      </c>
      <c r="E171" s="32">
        <f>IF(C171="","",ROUND(F170*Calculator!C15/12,2))</f>
        <v/>
      </c>
      <c r="F171" s="32">
        <f>IF(C171="","",F170-D171)</f>
        <v/>
      </c>
    </row>
    <row r="172">
      <c r="B172" s="33" t="n">
        <v>166</v>
      </c>
      <c r="C172" s="34">
        <f>IF(166&gt;Calculator!C16*12,"",Calculator!F9)</f>
        <v/>
      </c>
      <c r="D172" s="34">
        <f>IF(C172="","",C172-E172)</f>
        <v/>
      </c>
      <c r="E172" s="34">
        <f>IF(C172="","",ROUND(F171*Calculator!C15/12,2))</f>
        <v/>
      </c>
      <c r="F172" s="34">
        <f>IF(C172="","",F171-D172)</f>
        <v/>
      </c>
    </row>
    <row r="173">
      <c r="B173" s="31" t="n">
        <v>167</v>
      </c>
      <c r="C173" s="32">
        <f>IF(167&gt;Calculator!C16*12,"",Calculator!F9)</f>
        <v/>
      </c>
      <c r="D173" s="32">
        <f>IF(C173="","",C173-E173)</f>
        <v/>
      </c>
      <c r="E173" s="32">
        <f>IF(C173="","",ROUND(F172*Calculator!C15/12,2))</f>
        <v/>
      </c>
      <c r="F173" s="32">
        <f>IF(C173="","",F172-D173)</f>
        <v/>
      </c>
    </row>
    <row r="174">
      <c r="B174" s="33" t="n">
        <v>168</v>
      </c>
      <c r="C174" s="34">
        <f>IF(168&gt;Calculator!C16*12,"",Calculator!F9)</f>
        <v/>
      </c>
      <c r="D174" s="34">
        <f>IF(C174="","",C174-E174)</f>
        <v/>
      </c>
      <c r="E174" s="34">
        <f>IF(C174="","",ROUND(F173*Calculator!C15/12,2))</f>
        <v/>
      </c>
      <c r="F174" s="34">
        <f>IF(C174="","",F173-D174)</f>
        <v/>
      </c>
    </row>
    <row r="175">
      <c r="B175" s="31" t="n">
        <v>169</v>
      </c>
      <c r="C175" s="32">
        <f>IF(169&gt;Calculator!C16*12,"",Calculator!F9)</f>
        <v/>
      </c>
      <c r="D175" s="32">
        <f>IF(C175="","",C175-E175)</f>
        <v/>
      </c>
      <c r="E175" s="32">
        <f>IF(C175="","",ROUND(F174*Calculator!C15/12,2))</f>
        <v/>
      </c>
      <c r="F175" s="32">
        <f>IF(C175="","",F174-D175)</f>
        <v/>
      </c>
    </row>
    <row r="176">
      <c r="B176" s="33" t="n">
        <v>170</v>
      </c>
      <c r="C176" s="34">
        <f>IF(170&gt;Calculator!C16*12,"",Calculator!F9)</f>
        <v/>
      </c>
      <c r="D176" s="34">
        <f>IF(C176="","",C176-E176)</f>
        <v/>
      </c>
      <c r="E176" s="34">
        <f>IF(C176="","",ROUND(F175*Calculator!C15/12,2))</f>
        <v/>
      </c>
      <c r="F176" s="34">
        <f>IF(C176="","",F175-D176)</f>
        <v/>
      </c>
    </row>
    <row r="177">
      <c r="B177" s="31" t="n">
        <v>171</v>
      </c>
      <c r="C177" s="32">
        <f>IF(171&gt;Calculator!C16*12,"",Calculator!F9)</f>
        <v/>
      </c>
      <c r="D177" s="32">
        <f>IF(C177="","",C177-E177)</f>
        <v/>
      </c>
      <c r="E177" s="32">
        <f>IF(C177="","",ROUND(F176*Calculator!C15/12,2))</f>
        <v/>
      </c>
      <c r="F177" s="32">
        <f>IF(C177="","",F176-D177)</f>
        <v/>
      </c>
    </row>
    <row r="178">
      <c r="B178" s="33" t="n">
        <v>172</v>
      </c>
      <c r="C178" s="34">
        <f>IF(172&gt;Calculator!C16*12,"",Calculator!F9)</f>
        <v/>
      </c>
      <c r="D178" s="34">
        <f>IF(C178="","",C178-E178)</f>
        <v/>
      </c>
      <c r="E178" s="34">
        <f>IF(C178="","",ROUND(F177*Calculator!C15/12,2))</f>
        <v/>
      </c>
      <c r="F178" s="34">
        <f>IF(C178="","",F177-D178)</f>
        <v/>
      </c>
    </row>
    <row r="179">
      <c r="B179" s="31" t="n">
        <v>173</v>
      </c>
      <c r="C179" s="32">
        <f>IF(173&gt;Calculator!C16*12,"",Calculator!F9)</f>
        <v/>
      </c>
      <c r="D179" s="32">
        <f>IF(C179="","",C179-E179)</f>
        <v/>
      </c>
      <c r="E179" s="32">
        <f>IF(C179="","",ROUND(F178*Calculator!C15/12,2))</f>
        <v/>
      </c>
      <c r="F179" s="32">
        <f>IF(C179="","",F178-D179)</f>
        <v/>
      </c>
    </row>
    <row r="180">
      <c r="B180" s="33" t="n">
        <v>174</v>
      </c>
      <c r="C180" s="34">
        <f>IF(174&gt;Calculator!C16*12,"",Calculator!F9)</f>
        <v/>
      </c>
      <c r="D180" s="34">
        <f>IF(C180="","",C180-E180)</f>
        <v/>
      </c>
      <c r="E180" s="34">
        <f>IF(C180="","",ROUND(F179*Calculator!C15/12,2))</f>
        <v/>
      </c>
      <c r="F180" s="34">
        <f>IF(C180="","",F179-D180)</f>
        <v/>
      </c>
    </row>
    <row r="181">
      <c r="B181" s="31" t="n">
        <v>175</v>
      </c>
      <c r="C181" s="32">
        <f>IF(175&gt;Calculator!C16*12,"",Calculator!F9)</f>
        <v/>
      </c>
      <c r="D181" s="32">
        <f>IF(C181="","",C181-E181)</f>
        <v/>
      </c>
      <c r="E181" s="32">
        <f>IF(C181="","",ROUND(F180*Calculator!C15/12,2))</f>
        <v/>
      </c>
      <c r="F181" s="32">
        <f>IF(C181="","",F180-D181)</f>
        <v/>
      </c>
    </row>
    <row r="182">
      <c r="B182" s="33" t="n">
        <v>176</v>
      </c>
      <c r="C182" s="34">
        <f>IF(176&gt;Calculator!C16*12,"",Calculator!F9)</f>
        <v/>
      </c>
      <c r="D182" s="34">
        <f>IF(C182="","",C182-E182)</f>
        <v/>
      </c>
      <c r="E182" s="34">
        <f>IF(C182="","",ROUND(F181*Calculator!C15/12,2))</f>
        <v/>
      </c>
      <c r="F182" s="34">
        <f>IF(C182="","",F181-D182)</f>
        <v/>
      </c>
    </row>
    <row r="183">
      <c r="B183" s="31" t="n">
        <v>177</v>
      </c>
      <c r="C183" s="32">
        <f>IF(177&gt;Calculator!C16*12,"",Calculator!F9)</f>
        <v/>
      </c>
      <c r="D183" s="32">
        <f>IF(C183="","",C183-E183)</f>
        <v/>
      </c>
      <c r="E183" s="32">
        <f>IF(C183="","",ROUND(F182*Calculator!C15/12,2))</f>
        <v/>
      </c>
      <c r="F183" s="32">
        <f>IF(C183="","",F182-D183)</f>
        <v/>
      </c>
    </row>
    <row r="184">
      <c r="B184" s="33" t="n">
        <v>178</v>
      </c>
      <c r="C184" s="34">
        <f>IF(178&gt;Calculator!C16*12,"",Calculator!F9)</f>
        <v/>
      </c>
      <c r="D184" s="34">
        <f>IF(C184="","",C184-E184)</f>
        <v/>
      </c>
      <c r="E184" s="34">
        <f>IF(C184="","",ROUND(F183*Calculator!C15/12,2))</f>
        <v/>
      </c>
      <c r="F184" s="34">
        <f>IF(C184="","",F183-D184)</f>
        <v/>
      </c>
    </row>
    <row r="185">
      <c r="B185" s="31" t="n">
        <v>179</v>
      </c>
      <c r="C185" s="32">
        <f>IF(179&gt;Calculator!C16*12,"",Calculator!F9)</f>
        <v/>
      </c>
      <c r="D185" s="32">
        <f>IF(C185="","",C185-E185)</f>
        <v/>
      </c>
      <c r="E185" s="32">
        <f>IF(C185="","",ROUND(F184*Calculator!C15/12,2))</f>
        <v/>
      </c>
      <c r="F185" s="32">
        <f>IF(C185="","",F184-D185)</f>
        <v/>
      </c>
    </row>
    <row r="186">
      <c r="B186" s="33" t="n">
        <v>180</v>
      </c>
      <c r="C186" s="34">
        <f>IF(180&gt;Calculator!C16*12,"",Calculator!F9)</f>
        <v/>
      </c>
      <c r="D186" s="34">
        <f>IF(C186="","",C186-E186)</f>
        <v/>
      </c>
      <c r="E186" s="34">
        <f>IF(C186="","",ROUND(F185*Calculator!C15/12,2))</f>
        <v/>
      </c>
      <c r="F186" s="34">
        <f>IF(C186="","",F185-D186)</f>
        <v/>
      </c>
    </row>
    <row r="187">
      <c r="B187" s="31" t="n">
        <v>181</v>
      </c>
      <c r="C187" s="32">
        <f>IF(181&gt;Calculator!C16*12,"",Calculator!F9)</f>
        <v/>
      </c>
      <c r="D187" s="32">
        <f>IF(C187="","",C187-E187)</f>
        <v/>
      </c>
      <c r="E187" s="32">
        <f>IF(C187="","",ROUND(F186*Calculator!C15/12,2))</f>
        <v/>
      </c>
      <c r="F187" s="32">
        <f>IF(C187="","",F186-D187)</f>
        <v/>
      </c>
    </row>
    <row r="188">
      <c r="B188" s="33" t="n">
        <v>182</v>
      </c>
      <c r="C188" s="34">
        <f>IF(182&gt;Calculator!C16*12,"",Calculator!F9)</f>
        <v/>
      </c>
      <c r="D188" s="34">
        <f>IF(C188="","",C188-E188)</f>
        <v/>
      </c>
      <c r="E188" s="34">
        <f>IF(C188="","",ROUND(F187*Calculator!C15/12,2))</f>
        <v/>
      </c>
      <c r="F188" s="34">
        <f>IF(C188="","",F187-D188)</f>
        <v/>
      </c>
    </row>
    <row r="189">
      <c r="B189" s="31" t="n">
        <v>183</v>
      </c>
      <c r="C189" s="32">
        <f>IF(183&gt;Calculator!C16*12,"",Calculator!F9)</f>
        <v/>
      </c>
      <c r="D189" s="32">
        <f>IF(C189="","",C189-E189)</f>
        <v/>
      </c>
      <c r="E189" s="32">
        <f>IF(C189="","",ROUND(F188*Calculator!C15/12,2))</f>
        <v/>
      </c>
      <c r="F189" s="32">
        <f>IF(C189="","",F188-D189)</f>
        <v/>
      </c>
    </row>
    <row r="190">
      <c r="B190" s="33" t="n">
        <v>184</v>
      </c>
      <c r="C190" s="34">
        <f>IF(184&gt;Calculator!C16*12,"",Calculator!F9)</f>
        <v/>
      </c>
      <c r="D190" s="34">
        <f>IF(C190="","",C190-E190)</f>
        <v/>
      </c>
      <c r="E190" s="34">
        <f>IF(C190="","",ROUND(F189*Calculator!C15/12,2))</f>
        <v/>
      </c>
      <c r="F190" s="34">
        <f>IF(C190="","",F189-D190)</f>
        <v/>
      </c>
    </row>
    <row r="191">
      <c r="B191" s="31" t="n">
        <v>185</v>
      </c>
      <c r="C191" s="32">
        <f>IF(185&gt;Calculator!C16*12,"",Calculator!F9)</f>
        <v/>
      </c>
      <c r="D191" s="32">
        <f>IF(C191="","",C191-E191)</f>
        <v/>
      </c>
      <c r="E191" s="32">
        <f>IF(C191="","",ROUND(F190*Calculator!C15/12,2))</f>
        <v/>
      </c>
      <c r="F191" s="32">
        <f>IF(C191="","",F190-D191)</f>
        <v/>
      </c>
    </row>
    <row r="192">
      <c r="B192" s="33" t="n">
        <v>186</v>
      </c>
      <c r="C192" s="34">
        <f>IF(186&gt;Calculator!C16*12,"",Calculator!F9)</f>
        <v/>
      </c>
      <c r="D192" s="34">
        <f>IF(C192="","",C192-E192)</f>
        <v/>
      </c>
      <c r="E192" s="34">
        <f>IF(C192="","",ROUND(F191*Calculator!C15/12,2))</f>
        <v/>
      </c>
      <c r="F192" s="34">
        <f>IF(C192="","",F191-D192)</f>
        <v/>
      </c>
    </row>
    <row r="193">
      <c r="B193" s="31" t="n">
        <v>187</v>
      </c>
      <c r="C193" s="32">
        <f>IF(187&gt;Calculator!C16*12,"",Calculator!F9)</f>
        <v/>
      </c>
      <c r="D193" s="32">
        <f>IF(C193="","",C193-E193)</f>
        <v/>
      </c>
      <c r="E193" s="32">
        <f>IF(C193="","",ROUND(F192*Calculator!C15/12,2))</f>
        <v/>
      </c>
      <c r="F193" s="32">
        <f>IF(C193="","",F192-D193)</f>
        <v/>
      </c>
    </row>
    <row r="194">
      <c r="B194" s="33" t="n">
        <v>188</v>
      </c>
      <c r="C194" s="34">
        <f>IF(188&gt;Calculator!C16*12,"",Calculator!F9)</f>
        <v/>
      </c>
      <c r="D194" s="34">
        <f>IF(C194="","",C194-E194)</f>
        <v/>
      </c>
      <c r="E194" s="34">
        <f>IF(C194="","",ROUND(F193*Calculator!C15/12,2))</f>
        <v/>
      </c>
      <c r="F194" s="34">
        <f>IF(C194="","",F193-D194)</f>
        <v/>
      </c>
    </row>
    <row r="195">
      <c r="B195" s="31" t="n">
        <v>189</v>
      </c>
      <c r="C195" s="32">
        <f>IF(189&gt;Calculator!C16*12,"",Calculator!F9)</f>
        <v/>
      </c>
      <c r="D195" s="32">
        <f>IF(C195="","",C195-E195)</f>
        <v/>
      </c>
      <c r="E195" s="32">
        <f>IF(C195="","",ROUND(F194*Calculator!C15/12,2))</f>
        <v/>
      </c>
      <c r="F195" s="32">
        <f>IF(C195="","",F194-D195)</f>
        <v/>
      </c>
    </row>
    <row r="196">
      <c r="B196" s="33" t="n">
        <v>190</v>
      </c>
      <c r="C196" s="34">
        <f>IF(190&gt;Calculator!C16*12,"",Calculator!F9)</f>
        <v/>
      </c>
      <c r="D196" s="34">
        <f>IF(C196="","",C196-E196)</f>
        <v/>
      </c>
      <c r="E196" s="34">
        <f>IF(C196="","",ROUND(F195*Calculator!C15/12,2))</f>
        <v/>
      </c>
      <c r="F196" s="34">
        <f>IF(C196="","",F195-D196)</f>
        <v/>
      </c>
    </row>
    <row r="197">
      <c r="B197" s="31" t="n">
        <v>191</v>
      </c>
      <c r="C197" s="32">
        <f>IF(191&gt;Calculator!C16*12,"",Calculator!F9)</f>
        <v/>
      </c>
      <c r="D197" s="32">
        <f>IF(C197="","",C197-E197)</f>
        <v/>
      </c>
      <c r="E197" s="32">
        <f>IF(C197="","",ROUND(F196*Calculator!C15/12,2))</f>
        <v/>
      </c>
      <c r="F197" s="32">
        <f>IF(C197="","",F196-D197)</f>
        <v/>
      </c>
    </row>
    <row r="198">
      <c r="B198" s="33" t="n">
        <v>192</v>
      </c>
      <c r="C198" s="34">
        <f>IF(192&gt;Calculator!C16*12,"",Calculator!F9)</f>
        <v/>
      </c>
      <c r="D198" s="34">
        <f>IF(C198="","",C198-E198)</f>
        <v/>
      </c>
      <c r="E198" s="34">
        <f>IF(C198="","",ROUND(F197*Calculator!C15/12,2))</f>
        <v/>
      </c>
      <c r="F198" s="34">
        <f>IF(C198="","",F197-D198)</f>
        <v/>
      </c>
    </row>
    <row r="199">
      <c r="B199" s="31" t="n">
        <v>193</v>
      </c>
      <c r="C199" s="32">
        <f>IF(193&gt;Calculator!C16*12,"",Calculator!F9)</f>
        <v/>
      </c>
      <c r="D199" s="32">
        <f>IF(C199="","",C199-E199)</f>
        <v/>
      </c>
      <c r="E199" s="32">
        <f>IF(C199="","",ROUND(F198*Calculator!C15/12,2))</f>
        <v/>
      </c>
      <c r="F199" s="32">
        <f>IF(C199="","",F198-D199)</f>
        <v/>
      </c>
    </row>
    <row r="200">
      <c r="B200" s="33" t="n">
        <v>194</v>
      </c>
      <c r="C200" s="34">
        <f>IF(194&gt;Calculator!C16*12,"",Calculator!F9)</f>
        <v/>
      </c>
      <c r="D200" s="34">
        <f>IF(C200="","",C200-E200)</f>
        <v/>
      </c>
      <c r="E200" s="34">
        <f>IF(C200="","",ROUND(F199*Calculator!C15/12,2))</f>
        <v/>
      </c>
      <c r="F200" s="34">
        <f>IF(C200="","",F199-D200)</f>
        <v/>
      </c>
    </row>
    <row r="201">
      <c r="B201" s="31" t="n">
        <v>195</v>
      </c>
      <c r="C201" s="32">
        <f>IF(195&gt;Calculator!C16*12,"",Calculator!F9)</f>
        <v/>
      </c>
      <c r="D201" s="32">
        <f>IF(C201="","",C201-E201)</f>
        <v/>
      </c>
      <c r="E201" s="32">
        <f>IF(C201="","",ROUND(F200*Calculator!C15/12,2))</f>
        <v/>
      </c>
      <c r="F201" s="32">
        <f>IF(C201="","",F200-D201)</f>
        <v/>
      </c>
    </row>
    <row r="202">
      <c r="B202" s="33" t="n">
        <v>196</v>
      </c>
      <c r="C202" s="34">
        <f>IF(196&gt;Calculator!C16*12,"",Calculator!F9)</f>
        <v/>
      </c>
      <c r="D202" s="34">
        <f>IF(C202="","",C202-E202)</f>
        <v/>
      </c>
      <c r="E202" s="34">
        <f>IF(C202="","",ROUND(F201*Calculator!C15/12,2))</f>
        <v/>
      </c>
      <c r="F202" s="34">
        <f>IF(C202="","",F201-D202)</f>
        <v/>
      </c>
    </row>
    <row r="203">
      <c r="B203" s="31" t="n">
        <v>197</v>
      </c>
      <c r="C203" s="32">
        <f>IF(197&gt;Calculator!C16*12,"",Calculator!F9)</f>
        <v/>
      </c>
      <c r="D203" s="32">
        <f>IF(C203="","",C203-E203)</f>
        <v/>
      </c>
      <c r="E203" s="32">
        <f>IF(C203="","",ROUND(F202*Calculator!C15/12,2))</f>
        <v/>
      </c>
      <c r="F203" s="32">
        <f>IF(C203="","",F202-D203)</f>
        <v/>
      </c>
    </row>
    <row r="204">
      <c r="B204" s="33" t="n">
        <v>198</v>
      </c>
      <c r="C204" s="34">
        <f>IF(198&gt;Calculator!C16*12,"",Calculator!F9)</f>
        <v/>
      </c>
      <c r="D204" s="34">
        <f>IF(C204="","",C204-E204)</f>
        <v/>
      </c>
      <c r="E204" s="34">
        <f>IF(C204="","",ROUND(F203*Calculator!C15/12,2))</f>
        <v/>
      </c>
      <c r="F204" s="34">
        <f>IF(C204="","",F203-D204)</f>
        <v/>
      </c>
    </row>
    <row r="205">
      <c r="B205" s="31" t="n">
        <v>199</v>
      </c>
      <c r="C205" s="32">
        <f>IF(199&gt;Calculator!C16*12,"",Calculator!F9)</f>
        <v/>
      </c>
      <c r="D205" s="32">
        <f>IF(C205="","",C205-E205)</f>
        <v/>
      </c>
      <c r="E205" s="32">
        <f>IF(C205="","",ROUND(F204*Calculator!C15/12,2))</f>
        <v/>
      </c>
      <c r="F205" s="32">
        <f>IF(C205="","",F204-D205)</f>
        <v/>
      </c>
    </row>
    <row r="206">
      <c r="B206" s="33" t="n">
        <v>200</v>
      </c>
      <c r="C206" s="34">
        <f>IF(200&gt;Calculator!C16*12,"",Calculator!F9)</f>
        <v/>
      </c>
      <c r="D206" s="34">
        <f>IF(C206="","",C206-E206)</f>
        <v/>
      </c>
      <c r="E206" s="34">
        <f>IF(C206="","",ROUND(F205*Calculator!C15/12,2))</f>
        <v/>
      </c>
      <c r="F206" s="34">
        <f>IF(C206="","",F205-D206)</f>
        <v/>
      </c>
    </row>
    <row r="207">
      <c r="B207" s="31" t="n">
        <v>201</v>
      </c>
      <c r="C207" s="32">
        <f>IF(201&gt;Calculator!C16*12,"",Calculator!F9)</f>
        <v/>
      </c>
      <c r="D207" s="32">
        <f>IF(C207="","",C207-E207)</f>
        <v/>
      </c>
      <c r="E207" s="32">
        <f>IF(C207="","",ROUND(F206*Calculator!C15/12,2))</f>
        <v/>
      </c>
      <c r="F207" s="32">
        <f>IF(C207="","",F206-D207)</f>
        <v/>
      </c>
    </row>
    <row r="208">
      <c r="B208" s="33" t="n">
        <v>202</v>
      </c>
      <c r="C208" s="34">
        <f>IF(202&gt;Calculator!C16*12,"",Calculator!F9)</f>
        <v/>
      </c>
      <c r="D208" s="34">
        <f>IF(C208="","",C208-E208)</f>
        <v/>
      </c>
      <c r="E208" s="34">
        <f>IF(C208="","",ROUND(F207*Calculator!C15/12,2))</f>
        <v/>
      </c>
      <c r="F208" s="34">
        <f>IF(C208="","",F207-D208)</f>
        <v/>
      </c>
    </row>
    <row r="209">
      <c r="B209" s="31" t="n">
        <v>203</v>
      </c>
      <c r="C209" s="32">
        <f>IF(203&gt;Calculator!C16*12,"",Calculator!F9)</f>
        <v/>
      </c>
      <c r="D209" s="32">
        <f>IF(C209="","",C209-E209)</f>
        <v/>
      </c>
      <c r="E209" s="32">
        <f>IF(C209="","",ROUND(F208*Calculator!C15/12,2))</f>
        <v/>
      </c>
      <c r="F209" s="32">
        <f>IF(C209="","",F208-D209)</f>
        <v/>
      </c>
    </row>
    <row r="210">
      <c r="B210" s="33" t="n">
        <v>204</v>
      </c>
      <c r="C210" s="34">
        <f>IF(204&gt;Calculator!C16*12,"",Calculator!F9)</f>
        <v/>
      </c>
      <c r="D210" s="34">
        <f>IF(C210="","",C210-E210)</f>
        <v/>
      </c>
      <c r="E210" s="34">
        <f>IF(C210="","",ROUND(F209*Calculator!C15/12,2))</f>
        <v/>
      </c>
      <c r="F210" s="34">
        <f>IF(C210="","",F209-D210)</f>
        <v/>
      </c>
    </row>
    <row r="211">
      <c r="B211" s="31" t="n">
        <v>205</v>
      </c>
      <c r="C211" s="32">
        <f>IF(205&gt;Calculator!C16*12,"",Calculator!F9)</f>
        <v/>
      </c>
      <c r="D211" s="32">
        <f>IF(C211="","",C211-E211)</f>
        <v/>
      </c>
      <c r="E211" s="32">
        <f>IF(C211="","",ROUND(F210*Calculator!C15/12,2))</f>
        <v/>
      </c>
      <c r="F211" s="32">
        <f>IF(C211="","",F210-D211)</f>
        <v/>
      </c>
    </row>
    <row r="212">
      <c r="B212" s="33" t="n">
        <v>206</v>
      </c>
      <c r="C212" s="34">
        <f>IF(206&gt;Calculator!C16*12,"",Calculator!F9)</f>
        <v/>
      </c>
      <c r="D212" s="34">
        <f>IF(C212="","",C212-E212)</f>
        <v/>
      </c>
      <c r="E212" s="34">
        <f>IF(C212="","",ROUND(F211*Calculator!C15/12,2))</f>
        <v/>
      </c>
      <c r="F212" s="34">
        <f>IF(C212="","",F211-D212)</f>
        <v/>
      </c>
    </row>
    <row r="213">
      <c r="B213" s="31" t="n">
        <v>207</v>
      </c>
      <c r="C213" s="32">
        <f>IF(207&gt;Calculator!C16*12,"",Calculator!F9)</f>
        <v/>
      </c>
      <c r="D213" s="32">
        <f>IF(C213="","",C213-E213)</f>
        <v/>
      </c>
      <c r="E213" s="32">
        <f>IF(C213="","",ROUND(F212*Calculator!C15/12,2))</f>
        <v/>
      </c>
      <c r="F213" s="32">
        <f>IF(C213="","",F212-D213)</f>
        <v/>
      </c>
    </row>
    <row r="214">
      <c r="B214" s="33" t="n">
        <v>208</v>
      </c>
      <c r="C214" s="34">
        <f>IF(208&gt;Calculator!C16*12,"",Calculator!F9)</f>
        <v/>
      </c>
      <c r="D214" s="34">
        <f>IF(C214="","",C214-E214)</f>
        <v/>
      </c>
      <c r="E214" s="34">
        <f>IF(C214="","",ROUND(F213*Calculator!C15/12,2))</f>
        <v/>
      </c>
      <c r="F214" s="34">
        <f>IF(C214="","",F213-D214)</f>
        <v/>
      </c>
    </row>
    <row r="215">
      <c r="B215" s="31" t="n">
        <v>209</v>
      </c>
      <c r="C215" s="32">
        <f>IF(209&gt;Calculator!C16*12,"",Calculator!F9)</f>
        <v/>
      </c>
      <c r="D215" s="32">
        <f>IF(C215="","",C215-E215)</f>
        <v/>
      </c>
      <c r="E215" s="32">
        <f>IF(C215="","",ROUND(F214*Calculator!C15/12,2))</f>
        <v/>
      </c>
      <c r="F215" s="32">
        <f>IF(C215="","",F214-D215)</f>
        <v/>
      </c>
    </row>
    <row r="216">
      <c r="B216" s="33" t="n">
        <v>210</v>
      </c>
      <c r="C216" s="34">
        <f>IF(210&gt;Calculator!C16*12,"",Calculator!F9)</f>
        <v/>
      </c>
      <c r="D216" s="34">
        <f>IF(C216="","",C216-E216)</f>
        <v/>
      </c>
      <c r="E216" s="34">
        <f>IF(C216="","",ROUND(F215*Calculator!C15/12,2))</f>
        <v/>
      </c>
      <c r="F216" s="34">
        <f>IF(C216="","",F215-D216)</f>
        <v/>
      </c>
    </row>
    <row r="217">
      <c r="B217" s="31" t="n">
        <v>211</v>
      </c>
      <c r="C217" s="32">
        <f>IF(211&gt;Calculator!C16*12,"",Calculator!F9)</f>
        <v/>
      </c>
      <c r="D217" s="32">
        <f>IF(C217="","",C217-E217)</f>
        <v/>
      </c>
      <c r="E217" s="32">
        <f>IF(C217="","",ROUND(F216*Calculator!C15/12,2))</f>
        <v/>
      </c>
      <c r="F217" s="32">
        <f>IF(C217="","",F216-D217)</f>
        <v/>
      </c>
    </row>
    <row r="218">
      <c r="B218" s="33" t="n">
        <v>212</v>
      </c>
      <c r="C218" s="34">
        <f>IF(212&gt;Calculator!C16*12,"",Calculator!F9)</f>
        <v/>
      </c>
      <c r="D218" s="34">
        <f>IF(C218="","",C218-E218)</f>
        <v/>
      </c>
      <c r="E218" s="34">
        <f>IF(C218="","",ROUND(F217*Calculator!C15/12,2))</f>
        <v/>
      </c>
      <c r="F218" s="34">
        <f>IF(C218="","",F217-D218)</f>
        <v/>
      </c>
    </row>
    <row r="219">
      <c r="B219" s="31" t="n">
        <v>213</v>
      </c>
      <c r="C219" s="32">
        <f>IF(213&gt;Calculator!C16*12,"",Calculator!F9)</f>
        <v/>
      </c>
      <c r="D219" s="32">
        <f>IF(C219="","",C219-E219)</f>
        <v/>
      </c>
      <c r="E219" s="32">
        <f>IF(C219="","",ROUND(F218*Calculator!C15/12,2))</f>
        <v/>
      </c>
      <c r="F219" s="32">
        <f>IF(C219="","",F218-D219)</f>
        <v/>
      </c>
    </row>
    <row r="220">
      <c r="B220" s="33" t="n">
        <v>214</v>
      </c>
      <c r="C220" s="34">
        <f>IF(214&gt;Calculator!C16*12,"",Calculator!F9)</f>
        <v/>
      </c>
      <c r="D220" s="34">
        <f>IF(C220="","",C220-E220)</f>
        <v/>
      </c>
      <c r="E220" s="34">
        <f>IF(C220="","",ROUND(F219*Calculator!C15/12,2))</f>
        <v/>
      </c>
      <c r="F220" s="34">
        <f>IF(C220="","",F219-D220)</f>
        <v/>
      </c>
    </row>
    <row r="221">
      <c r="B221" s="31" t="n">
        <v>215</v>
      </c>
      <c r="C221" s="32">
        <f>IF(215&gt;Calculator!C16*12,"",Calculator!F9)</f>
        <v/>
      </c>
      <c r="D221" s="32">
        <f>IF(C221="","",C221-E221)</f>
        <v/>
      </c>
      <c r="E221" s="32">
        <f>IF(C221="","",ROUND(F220*Calculator!C15/12,2))</f>
        <v/>
      </c>
      <c r="F221" s="32">
        <f>IF(C221="","",F220-D221)</f>
        <v/>
      </c>
    </row>
    <row r="222">
      <c r="B222" s="33" t="n">
        <v>216</v>
      </c>
      <c r="C222" s="34">
        <f>IF(216&gt;Calculator!C16*12,"",Calculator!F9)</f>
        <v/>
      </c>
      <c r="D222" s="34">
        <f>IF(C222="","",C222-E222)</f>
        <v/>
      </c>
      <c r="E222" s="34">
        <f>IF(C222="","",ROUND(F221*Calculator!C15/12,2))</f>
        <v/>
      </c>
      <c r="F222" s="34">
        <f>IF(C222="","",F221-D222)</f>
        <v/>
      </c>
    </row>
    <row r="223">
      <c r="B223" s="31" t="n">
        <v>217</v>
      </c>
      <c r="C223" s="32">
        <f>IF(217&gt;Calculator!C16*12,"",Calculator!F9)</f>
        <v/>
      </c>
      <c r="D223" s="32">
        <f>IF(C223="","",C223-E223)</f>
        <v/>
      </c>
      <c r="E223" s="32">
        <f>IF(C223="","",ROUND(F222*Calculator!C15/12,2))</f>
        <v/>
      </c>
      <c r="F223" s="32">
        <f>IF(C223="","",F222-D223)</f>
        <v/>
      </c>
    </row>
    <row r="224">
      <c r="B224" s="33" t="n">
        <v>218</v>
      </c>
      <c r="C224" s="34">
        <f>IF(218&gt;Calculator!C16*12,"",Calculator!F9)</f>
        <v/>
      </c>
      <c r="D224" s="34">
        <f>IF(C224="","",C224-E224)</f>
        <v/>
      </c>
      <c r="E224" s="34">
        <f>IF(C224="","",ROUND(F223*Calculator!C15/12,2))</f>
        <v/>
      </c>
      <c r="F224" s="34">
        <f>IF(C224="","",F223-D224)</f>
        <v/>
      </c>
    </row>
    <row r="225">
      <c r="B225" s="31" t="n">
        <v>219</v>
      </c>
      <c r="C225" s="32">
        <f>IF(219&gt;Calculator!C16*12,"",Calculator!F9)</f>
        <v/>
      </c>
      <c r="D225" s="32">
        <f>IF(C225="","",C225-E225)</f>
        <v/>
      </c>
      <c r="E225" s="32">
        <f>IF(C225="","",ROUND(F224*Calculator!C15/12,2))</f>
        <v/>
      </c>
      <c r="F225" s="32">
        <f>IF(C225="","",F224-D225)</f>
        <v/>
      </c>
    </row>
    <row r="226">
      <c r="B226" s="33" t="n">
        <v>220</v>
      </c>
      <c r="C226" s="34">
        <f>IF(220&gt;Calculator!C16*12,"",Calculator!F9)</f>
        <v/>
      </c>
      <c r="D226" s="34">
        <f>IF(C226="","",C226-E226)</f>
        <v/>
      </c>
      <c r="E226" s="34">
        <f>IF(C226="","",ROUND(F225*Calculator!C15/12,2))</f>
        <v/>
      </c>
      <c r="F226" s="34">
        <f>IF(C226="","",F225-D226)</f>
        <v/>
      </c>
    </row>
    <row r="227">
      <c r="B227" s="31" t="n">
        <v>221</v>
      </c>
      <c r="C227" s="32">
        <f>IF(221&gt;Calculator!C16*12,"",Calculator!F9)</f>
        <v/>
      </c>
      <c r="D227" s="32">
        <f>IF(C227="","",C227-E227)</f>
        <v/>
      </c>
      <c r="E227" s="32">
        <f>IF(C227="","",ROUND(F226*Calculator!C15/12,2))</f>
        <v/>
      </c>
      <c r="F227" s="32">
        <f>IF(C227="","",F226-D227)</f>
        <v/>
      </c>
    </row>
    <row r="228">
      <c r="B228" s="33" t="n">
        <v>222</v>
      </c>
      <c r="C228" s="34">
        <f>IF(222&gt;Calculator!C16*12,"",Calculator!F9)</f>
        <v/>
      </c>
      <c r="D228" s="34">
        <f>IF(C228="","",C228-E228)</f>
        <v/>
      </c>
      <c r="E228" s="34">
        <f>IF(C228="","",ROUND(F227*Calculator!C15/12,2))</f>
        <v/>
      </c>
      <c r="F228" s="34">
        <f>IF(C228="","",F227-D228)</f>
        <v/>
      </c>
    </row>
    <row r="229">
      <c r="B229" s="31" t="n">
        <v>223</v>
      </c>
      <c r="C229" s="32">
        <f>IF(223&gt;Calculator!C16*12,"",Calculator!F9)</f>
        <v/>
      </c>
      <c r="D229" s="32">
        <f>IF(C229="","",C229-E229)</f>
        <v/>
      </c>
      <c r="E229" s="32">
        <f>IF(C229="","",ROUND(F228*Calculator!C15/12,2))</f>
        <v/>
      </c>
      <c r="F229" s="32">
        <f>IF(C229="","",F228-D229)</f>
        <v/>
      </c>
    </row>
    <row r="230">
      <c r="B230" s="33" t="n">
        <v>224</v>
      </c>
      <c r="C230" s="34">
        <f>IF(224&gt;Calculator!C16*12,"",Calculator!F9)</f>
        <v/>
      </c>
      <c r="D230" s="34">
        <f>IF(C230="","",C230-E230)</f>
        <v/>
      </c>
      <c r="E230" s="34">
        <f>IF(C230="","",ROUND(F229*Calculator!C15/12,2))</f>
        <v/>
      </c>
      <c r="F230" s="34">
        <f>IF(C230="","",F229-D230)</f>
        <v/>
      </c>
    </row>
    <row r="231">
      <c r="B231" s="31" t="n">
        <v>225</v>
      </c>
      <c r="C231" s="32">
        <f>IF(225&gt;Calculator!C16*12,"",Calculator!F9)</f>
        <v/>
      </c>
      <c r="D231" s="32">
        <f>IF(C231="","",C231-E231)</f>
        <v/>
      </c>
      <c r="E231" s="32">
        <f>IF(C231="","",ROUND(F230*Calculator!C15/12,2))</f>
        <v/>
      </c>
      <c r="F231" s="32">
        <f>IF(C231="","",F230-D231)</f>
        <v/>
      </c>
    </row>
    <row r="232">
      <c r="B232" s="33" t="n">
        <v>226</v>
      </c>
      <c r="C232" s="34">
        <f>IF(226&gt;Calculator!C16*12,"",Calculator!F9)</f>
        <v/>
      </c>
      <c r="D232" s="34">
        <f>IF(C232="","",C232-E232)</f>
        <v/>
      </c>
      <c r="E232" s="34">
        <f>IF(C232="","",ROUND(F231*Calculator!C15/12,2))</f>
        <v/>
      </c>
      <c r="F232" s="34">
        <f>IF(C232="","",F231-D232)</f>
        <v/>
      </c>
    </row>
    <row r="233">
      <c r="B233" s="31" t="n">
        <v>227</v>
      </c>
      <c r="C233" s="32">
        <f>IF(227&gt;Calculator!C16*12,"",Calculator!F9)</f>
        <v/>
      </c>
      <c r="D233" s="32">
        <f>IF(C233="","",C233-E233)</f>
        <v/>
      </c>
      <c r="E233" s="32">
        <f>IF(C233="","",ROUND(F232*Calculator!C15/12,2))</f>
        <v/>
      </c>
      <c r="F233" s="32">
        <f>IF(C233="","",F232-D233)</f>
        <v/>
      </c>
    </row>
    <row r="234">
      <c r="B234" s="33" t="n">
        <v>228</v>
      </c>
      <c r="C234" s="34">
        <f>IF(228&gt;Calculator!C16*12,"",Calculator!F9)</f>
        <v/>
      </c>
      <c r="D234" s="34">
        <f>IF(C234="","",C234-E234)</f>
        <v/>
      </c>
      <c r="E234" s="34">
        <f>IF(C234="","",ROUND(F233*Calculator!C15/12,2))</f>
        <v/>
      </c>
      <c r="F234" s="34">
        <f>IF(C234="","",F233-D234)</f>
        <v/>
      </c>
    </row>
    <row r="235">
      <c r="B235" s="31" t="n">
        <v>229</v>
      </c>
      <c r="C235" s="32">
        <f>IF(229&gt;Calculator!C16*12,"",Calculator!F9)</f>
        <v/>
      </c>
      <c r="D235" s="32">
        <f>IF(C235="","",C235-E235)</f>
        <v/>
      </c>
      <c r="E235" s="32">
        <f>IF(C235="","",ROUND(F234*Calculator!C15/12,2))</f>
        <v/>
      </c>
      <c r="F235" s="32">
        <f>IF(C235="","",F234-D235)</f>
        <v/>
      </c>
    </row>
    <row r="236">
      <c r="B236" s="33" t="n">
        <v>230</v>
      </c>
      <c r="C236" s="34">
        <f>IF(230&gt;Calculator!C16*12,"",Calculator!F9)</f>
        <v/>
      </c>
      <c r="D236" s="34">
        <f>IF(C236="","",C236-E236)</f>
        <v/>
      </c>
      <c r="E236" s="34">
        <f>IF(C236="","",ROUND(F235*Calculator!C15/12,2))</f>
        <v/>
      </c>
      <c r="F236" s="34">
        <f>IF(C236="","",F235-D236)</f>
        <v/>
      </c>
    </row>
    <row r="237">
      <c r="B237" s="31" t="n">
        <v>231</v>
      </c>
      <c r="C237" s="32">
        <f>IF(231&gt;Calculator!C16*12,"",Calculator!F9)</f>
        <v/>
      </c>
      <c r="D237" s="32">
        <f>IF(C237="","",C237-E237)</f>
        <v/>
      </c>
      <c r="E237" s="32">
        <f>IF(C237="","",ROUND(F236*Calculator!C15/12,2))</f>
        <v/>
      </c>
      <c r="F237" s="32">
        <f>IF(C237="","",F236-D237)</f>
        <v/>
      </c>
    </row>
    <row r="238">
      <c r="B238" s="33" t="n">
        <v>232</v>
      </c>
      <c r="C238" s="34">
        <f>IF(232&gt;Calculator!C16*12,"",Calculator!F9)</f>
        <v/>
      </c>
      <c r="D238" s="34">
        <f>IF(C238="","",C238-E238)</f>
        <v/>
      </c>
      <c r="E238" s="34">
        <f>IF(C238="","",ROUND(F237*Calculator!C15/12,2))</f>
        <v/>
      </c>
      <c r="F238" s="34">
        <f>IF(C238="","",F237-D238)</f>
        <v/>
      </c>
    </row>
    <row r="239">
      <c r="B239" s="31" t="n">
        <v>233</v>
      </c>
      <c r="C239" s="32">
        <f>IF(233&gt;Calculator!C16*12,"",Calculator!F9)</f>
        <v/>
      </c>
      <c r="D239" s="32">
        <f>IF(C239="","",C239-E239)</f>
        <v/>
      </c>
      <c r="E239" s="32">
        <f>IF(C239="","",ROUND(F238*Calculator!C15/12,2))</f>
        <v/>
      </c>
      <c r="F239" s="32">
        <f>IF(C239="","",F238-D239)</f>
        <v/>
      </c>
    </row>
    <row r="240">
      <c r="B240" s="33" t="n">
        <v>234</v>
      </c>
      <c r="C240" s="34">
        <f>IF(234&gt;Calculator!C16*12,"",Calculator!F9)</f>
        <v/>
      </c>
      <c r="D240" s="34">
        <f>IF(C240="","",C240-E240)</f>
        <v/>
      </c>
      <c r="E240" s="34">
        <f>IF(C240="","",ROUND(F239*Calculator!C15/12,2))</f>
        <v/>
      </c>
      <c r="F240" s="34">
        <f>IF(C240="","",F239-D240)</f>
        <v/>
      </c>
    </row>
    <row r="241">
      <c r="B241" s="31" t="n">
        <v>235</v>
      </c>
      <c r="C241" s="32">
        <f>IF(235&gt;Calculator!C16*12,"",Calculator!F9)</f>
        <v/>
      </c>
      <c r="D241" s="32">
        <f>IF(C241="","",C241-E241)</f>
        <v/>
      </c>
      <c r="E241" s="32">
        <f>IF(C241="","",ROUND(F240*Calculator!C15/12,2))</f>
        <v/>
      </c>
      <c r="F241" s="32">
        <f>IF(C241="","",F240-D241)</f>
        <v/>
      </c>
    </row>
    <row r="242">
      <c r="B242" s="33" t="n">
        <v>236</v>
      </c>
      <c r="C242" s="34">
        <f>IF(236&gt;Calculator!C16*12,"",Calculator!F9)</f>
        <v/>
      </c>
      <c r="D242" s="34">
        <f>IF(C242="","",C242-E242)</f>
        <v/>
      </c>
      <c r="E242" s="34">
        <f>IF(C242="","",ROUND(F241*Calculator!C15/12,2))</f>
        <v/>
      </c>
      <c r="F242" s="34">
        <f>IF(C242="","",F241-D242)</f>
        <v/>
      </c>
    </row>
    <row r="243">
      <c r="B243" s="31" t="n">
        <v>237</v>
      </c>
      <c r="C243" s="32">
        <f>IF(237&gt;Calculator!C16*12,"",Calculator!F9)</f>
        <v/>
      </c>
      <c r="D243" s="32">
        <f>IF(C243="","",C243-E243)</f>
        <v/>
      </c>
      <c r="E243" s="32">
        <f>IF(C243="","",ROUND(F242*Calculator!C15/12,2))</f>
        <v/>
      </c>
      <c r="F243" s="32">
        <f>IF(C243="","",F242-D243)</f>
        <v/>
      </c>
    </row>
    <row r="244">
      <c r="B244" s="33" t="n">
        <v>238</v>
      </c>
      <c r="C244" s="34">
        <f>IF(238&gt;Calculator!C16*12,"",Calculator!F9)</f>
        <v/>
      </c>
      <c r="D244" s="34">
        <f>IF(C244="","",C244-E244)</f>
        <v/>
      </c>
      <c r="E244" s="34">
        <f>IF(C244="","",ROUND(F243*Calculator!C15/12,2))</f>
        <v/>
      </c>
      <c r="F244" s="34">
        <f>IF(C244="","",F243-D244)</f>
        <v/>
      </c>
    </row>
    <row r="245">
      <c r="B245" s="31" t="n">
        <v>239</v>
      </c>
      <c r="C245" s="32">
        <f>IF(239&gt;Calculator!C16*12,"",Calculator!F9)</f>
        <v/>
      </c>
      <c r="D245" s="32">
        <f>IF(C245="","",C245-E245)</f>
        <v/>
      </c>
      <c r="E245" s="32">
        <f>IF(C245="","",ROUND(F244*Calculator!C15/12,2))</f>
        <v/>
      </c>
      <c r="F245" s="32">
        <f>IF(C245="","",F244-D245)</f>
        <v/>
      </c>
    </row>
    <row r="246">
      <c r="B246" s="33" t="n">
        <v>240</v>
      </c>
      <c r="C246" s="34">
        <f>IF(240&gt;Calculator!C16*12,"",Calculator!F9)</f>
        <v/>
      </c>
      <c r="D246" s="34">
        <f>IF(C246="","",C246-E246)</f>
        <v/>
      </c>
      <c r="E246" s="34">
        <f>IF(C246="","",ROUND(F245*Calculator!C15/12,2))</f>
        <v/>
      </c>
      <c r="F246" s="34">
        <f>IF(C246="","",F245-D246)</f>
        <v/>
      </c>
    </row>
    <row r="247">
      <c r="B247" s="31" t="n">
        <v>241</v>
      </c>
      <c r="C247" s="32">
        <f>IF(241&gt;Calculator!C16*12,"",Calculator!F9)</f>
        <v/>
      </c>
      <c r="D247" s="32">
        <f>IF(C247="","",C247-E247)</f>
        <v/>
      </c>
      <c r="E247" s="32">
        <f>IF(C247="","",ROUND(F246*Calculator!C15/12,2))</f>
        <v/>
      </c>
      <c r="F247" s="32">
        <f>IF(C247="","",F246-D247)</f>
        <v/>
      </c>
    </row>
    <row r="248">
      <c r="B248" s="33" t="n">
        <v>242</v>
      </c>
      <c r="C248" s="34">
        <f>IF(242&gt;Calculator!C16*12,"",Calculator!F9)</f>
        <v/>
      </c>
      <c r="D248" s="34">
        <f>IF(C248="","",C248-E248)</f>
        <v/>
      </c>
      <c r="E248" s="34">
        <f>IF(C248="","",ROUND(F247*Calculator!C15/12,2))</f>
        <v/>
      </c>
      <c r="F248" s="34">
        <f>IF(C248="","",F247-D248)</f>
        <v/>
      </c>
    </row>
    <row r="249">
      <c r="B249" s="31" t="n">
        <v>243</v>
      </c>
      <c r="C249" s="32">
        <f>IF(243&gt;Calculator!C16*12,"",Calculator!F9)</f>
        <v/>
      </c>
      <c r="D249" s="32">
        <f>IF(C249="","",C249-E249)</f>
        <v/>
      </c>
      <c r="E249" s="32">
        <f>IF(C249="","",ROUND(F248*Calculator!C15/12,2))</f>
        <v/>
      </c>
      <c r="F249" s="32">
        <f>IF(C249="","",F248-D249)</f>
        <v/>
      </c>
    </row>
    <row r="250">
      <c r="B250" s="33" t="n">
        <v>244</v>
      </c>
      <c r="C250" s="34">
        <f>IF(244&gt;Calculator!C16*12,"",Calculator!F9)</f>
        <v/>
      </c>
      <c r="D250" s="34">
        <f>IF(C250="","",C250-E250)</f>
        <v/>
      </c>
      <c r="E250" s="34">
        <f>IF(C250="","",ROUND(F249*Calculator!C15/12,2))</f>
        <v/>
      </c>
      <c r="F250" s="34">
        <f>IF(C250="","",F249-D250)</f>
        <v/>
      </c>
    </row>
    <row r="251">
      <c r="B251" s="31" t="n">
        <v>245</v>
      </c>
      <c r="C251" s="32">
        <f>IF(245&gt;Calculator!C16*12,"",Calculator!F9)</f>
        <v/>
      </c>
      <c r="D251" s="32">
        <f>IF(C251="","",C251-E251)</f>
        <v/>
      </c>
      <c r="E251" s="32">
        <f>IF(C251="","",ROUND(F250*Calculator!C15/12,2))</f>
        <v/>
      </c>
      <c r="F251" s="32">
        <f>IF(C251="","",F250-D251)</f>
        <v/>
      </c>
    </row>
    <row r="252">
      <c r="B252" s="33" t="n">
        <v>246</v>
      </c>
      <c r="C252" s="34">
        <f>IF(246&gt;Calculator!C16*12,"",Calculator!F9)</f>
        <v/>
      </c>
      <c r="D252" s="34">
        <f>IF(C252="","",C252-E252)</f>
        <v/>
      </c>
      <c r="E252" s="34">
        <f>IF(C252="","",ROUND(F251*Calculator!C15/12,2))</f>
        <v/>
      </c>
      <c r="F252" s="34">
        <f>IF(C252="","",F251-D252)</f>
        <v/>
      </c>
    </row>
    <row r="253">
      <c r="B253" s="31" t="n">
        <v>247</v>
      </c>
      <c r="C253" s="32">
        <f>IF(247&gt;Calculator!C16*12,"",Calculator!F9)</f>
        <v/>
      </c>
      <c r="D253" s="32">
        <f>IF(C253="","",C253-E253)</f>
        <v/>
      </c>
      <c r="E253" s="32">
        <f>IF(C253="","",ROUND(F252*Calculator!C15/12,2))</f>
        <v/>
      </c>
      <c r="F253" s="32">
        <f>IF(C253="","",F252-D253)</f>
        <v/>
      </c>
    </row>
    <row r="254">
      <c r="B254" s="33" t="n">
        <v>248</v>
      </c>
      <c r="C254" s="34">
        <f>IF(248&gt;Calculator!C16*12,"",Calculator!F9)</f>
        <v/>
      </c>
      <c r="D254" s="34">
        <f>IF(C254="","",C254-E254)</f>
        <v/>
      </c>
      <c r="E254" s="34">
        <f>IF(C254="","",ROUND(F253*Calculator!C15/12,2))</f>
        <v/>
      </c>
      <c r="F254" s="34">
        <f>IF(C254="","",F253-D254)</f>
        <v/>
      </c>
    </row>
    <row r="255">
      <c r="B255" s="31" t="n">
        <v>249</v>
      </c>
      <c r="C255" s="32">
        <f>IF(249&gt;Calculator!C16*12,"",Calculator!F9)</f>
        <v/>
      </c>
      <c r="D255" s="32">
        <f>IF(C255="","",C255-E255)</f>
        <v/>
      </c>
      <c r="E255" s="32">
        <f>IF(C255="","",ROUND(F254*Calculator!C15/12,2))</f>
        <v/>
      </c>
      <c r="F255" s="32">
        <f>IF(C255="","",F254-D255)</f>
        <v/>
      </c>
    </row>
    <row r="256">
      <c r="B256" s="33" t="n">
        <v>250</v>
      </c>
      <c r="C256" s="34">
        <f>IF(250&gt;Calculator!C16*12,"",Calculator!F9)</f>
        <v/>
      </c>
      <c r="D256" s="34">
        <f>IF(C256="","",C256-E256)</f>
        <v/>
      </c>
      <c r="E256" s="34">
        <f>IF(C256="","",ROUND(F255*Calculator!C15/12,2))</f>
        <v/>
      </c>
      <c r="F256" s="34">
        <f>IF(C256="","",F255-D256)</f>
        <v/>
      </c>
    </row>
    <row r="257">
      <c r="B257" s="31" t="n">
        <v>251</v>
      </c>
      <c r="C257" s="32">
        <f>IF(251&gt;Calculator!C16*12,"",Calculator!F9)</f>
        <v/>
      </c>
      <c r="D257" s="32">
        <f>IF(C257="","",C257-E257)</f>
        <v/>
      </c>
      <c r="E257" s="32">
        <f>IF(C257="","",ROUND(F256*Calculator!C15/12,2))</f>
        <v/>
      </c>
      <c r="F257" s="32">
        <f>IF(C257="","",F256-D257)</f>
        <v/>
      </c>
    </row>
    <row r="258">
      <c r="B258" s="33" t="n">
        <v>252</v>
      </c>
      <c r="C258" s="34">
        <f>IF(252&gt;Calculator!C16*12,"",Calculator!F9)</f>
        <v/>
      </c>
      <c r="D258" s="34">
        <f>IF(C258="","",C258-E258)</f>
        <v/>
      </c>
      <c r="E258" s="34">
        <f>IF(C258="","",ROUND(F257*Calculator!C15/12,2))</f>
        <v/>
      </c>
      <c r="F258" s="34">
        <f>IF(C258="","",F257-D258)</f>
        <v/>
      </c>
    </row>
    <row r="259">
      <c r="B259" s="31" t="n">
        <v>253</v>
      </c>
      <c r="C259" s="32">
        <f>IF(253&gt;Calculator!C16*12,"",Calculator!F9)</f>
        <v/>
      </c>
      <c r="D259" s="32">
        <f>IF(C259="","",C259-E259)</f>
        <v/>
      </c>
      <c r="E259" s="32">
        <f>IF(C259="","",ROUND(F258*Calculator!C15/12,2))</f>
        <v/>
      </c>
      <c r="F259" s="32">
        <f>IF(C259="","",F258-D259)</f>
        <v/>
      </c>
    </row>
    <row r="260">
      <c r="B260" s="33" t="n">
        <v>254</v>
      </c>
      <c r="C260" s="34">
        <f>IF(254&gt;Calculator!C16*12,"",Calculator!F9)</f>
        <v/>
      </c>
      <c r="D260" s="34">
        <f>IF(C260="","",C260-E260)</f>
        <v/>
      </c>
      <c r="E260" s="34">
        <f>IF(C260="","",ROUND(F259*Calculator!C15/12,2))</f>
        <v/>
      </c>
      <c r="F260" s="34">
        <f>IF(C260="","",F259-D260)</f>
        <v/>
      </c>
    </row>
    <row r="261">
      <c r="B261" s="31" t="n">
        <v>255</v>
      </c>
      <c r="C261" s="32">
        <f>IF(255&gt;Calculator!C16*12,"",Calculator!F9)</f>
        <v/>
      </c>
      <c r="D261" s="32">
        <f>IF(C261="","",C261-E261)</f>
        <v/>
      </c>
      <c r="E261" s="32">
        <f>IF(C261="","",ROUND(F260*Calculator!C15/12,2))</f>
        <v/>
      </c>
      <c r="F261" s="32">
        <f>IF(C261="","",F260-D261)</f>
        <v/>
      </c>
    </row>
    <row r="262">
      <c r="B262" s="33" t="n">
        <v>256</v>
      </c>
      <c r="C262" s="34">
        <f>IF(256&gt;Calculator!C16*12,"",Calculator!F9)</f>
        <v/>
      </c>
      <c r="D262" s="34">
        <f>IF(C262="","",C262-E262)</f>
        <v/>
      </c>
      <c r="E262" s="34">
        <f>IF(C262="","",ROUND(F261*Calculator!C15/12,2))</f>
        <v/>
      </c>
      <c r="F262" s="34">
        <f>IF(C262="","",F261-D262)</f>
        <v/>
      </c>
    </row>
    <row r="263">
      <c r="B263" s="31" t="n">
        <v>257</v>
      </c>
      <c r="C263" s="32">
        <f>IF(257&gt;Calculator!C16*12,"",Calculator!F9)</f>
        <v/>
      </c>
      <c r="D263" s="32">
        <f>IF(C263="","",C263-E263)</f>
        <v/>
      </c>
      <c r="E263" s="32">
        <f>IF(C263="","",ROUND(F262*Calculator!C15/12,2))</f>
        <v/>
      </c>
      <c r="F263" s="32">
        <f>IF(C263="","",F262-D263)</f>
        <v/>
      </c>
    </row>
    <row r="264">
      <c r="B264" s="33" t="n">
        <v>258</v>
      </c>
      <c r="C264" s="34">
        <f>IF(258&gt;Calculator!C16*12,"",Calculator!F9)</f>
        <v/>
      </c>
      <c r="D264" s="34">
        <f>IF(C264="","",C264-E264)</f>
        <v/>
      </c>
      <c r="E264" s="34">
        <f>IF(C264="","",ROUND(F263*Calculator!C15/12,2))</f>
        <v/>
      </c>
      <c r="F264" s="34">
        <f>IF(C264="","",F263-D264)</f>
        <v/>
      </c>
    </row>
    <row r="265">
      <c r="B265" s="31" t="n">
        <v>259</v>
      </c>
      <c r="C265" s="32">
        <f>IF(259&gt;Calculator!C16*12,"",Calculator!F9)</f>
        <v/>
      </c>
      <c r="D265" s="32">
        <f>IF(C265="","",C265-E265)</f>
        <v/>
      </c>
      <c r="E265" s="32">
        <f>IF(C265="","",ROUND(F264*Calculator!C15/12,2))</f>
        <v/>
      </c>
      <c r="F265" s="32">
        <f>IF(C265="","",F264-D265)</f>
        <v/>
      </c>
    </row>
    <row r="266">
      <c r="B266" s="33" t="n">
        <v>260</v>
      </c>
      <c r="C266" s="34">
        <f>IF(260&gt;Calculator!C16*12,"",Calculator!F9)</f>
        <v/>
      </c>
      <c r="D266" s="34">
        <f>IF(C266="","",C266-E266)</f>
        <v/>
      </c>
      <c r="E266" s="34">
        <f>IF(C266="","",ROUND(F265*Calculator!C15/12,2))</f>
        <v/>
      </c>
      <c r="F266" s="34">
        <f>IF(C266="","",F265-D266)</f>
        <v/>
      </c>
    </row>
    <row r="267">
      <c r="B267" s="31" t="n">
        <v>261</v>
      </c>
      <c r="C267" s="32">
        <f>IF(261&gt;Calculator!C16*12,"",Calculator!F9)</f>
        <v/>
      </c>
      <c r="D267" s="32">
        <f>IF(C267="","",C267-E267)</f>
        <v/>
      </c>
      <c r="E267" s="32">
        <f>IF(C267="","",ROUND(F266*Calculator!C15/12,2))</f>
        <v/>
      </c>
      <c r="F267" s="32">
        <f>IF(C267="","",F266-D267)</f>
        <v/>
      </c>
    </row>
    <row r="268">
      <c r="B268" s="33" t="n">
        <v>262</v>
      </c>
      <c r="C268" s="34">
        <f>IF(262&gt;Calculator!C16*12,"",Calculator!F9)</f>
        <v/>
      </c>
      <c r="D268" s="34">
        <f>IF(C268="","",C268-E268)</f>
        <v/>
      </c>
      <c r="E268" s="34">
        <f>IF(C268="","",ROUND(F267*Calculator!C15/12,2))</f>
        <v/>
      </c>
      <c r="F268" s="34">
        <f>IF(C268="","",F267-D268)</f>
        <v/>
      </c>
    </row>
    <row r="269">
      <c r="B269" s="31" t="n">
        <v>263</v>
      </c>
      <c r="C269" s="32">
        <f>IF(263&gt;Calculator!C16*12,"",Calculator!F9)</f>
        <v/>
      </c>
      <c r="D269" s="32">
        <f>IF(C269="","",C269-E269)</f>
        <v/>
      </c>
      <c r="E269" s="32">
        <f>IF(C269="","",ROUND(F268*Calculator!C15/12,2))</f>
        <v/>
      </c>
      <c r="F269" s="32">
        <f>IF(C269="","",F268-D269)</f>
        <v/>
      </c>
    </row>
    <row r="270">
      <c r="B270" s="33" t="n">
        <v>264</v>
      </c>
      <c r="C270" s="34">
        <f>IF(264&gt;Calculator!C16*12,"",Calculator!F9)</f>
        <v/>
      </c>
      <c r="D270" s="34">
        <f>IF(C270="","",C270-E270)</f>
        <v/>
      </c>
      <c r="E270" s="34">
        <f>IF(C270="","",ROUND(F269*Calculator!C15/12,2))</f>
        <v/>
      </c>
      <c r="F270" s="34">
        <f>IF(C270="","",F269-D270)</f>
        <v/>
      </c>
    </row>
    <row r="271">
      <c r="B271" s="31" t="n">
        <v>265</v>
      </c>
      <c r="C271" s="32">
        <f>IF(265&gt;Calculator!C16*12,"",Calculator!F9)</f>
        <v/>
      </c>
      <c r="D271" s="32">
        <f>IF(C271="","",C271-E271)</f>
        <v/>
      </c>
      <c r="E271" s="32">
        <f>IF(C271="","",ROUND(F270*Calculator!C15/12,2))</f>
        <v/>
      </c>
      <c r="F271" s="32">
        <f>IF(C271="","",F270-D271)</f>
        <v/>
      </c>
    </row>
    <row r="272">
      <c r="B272" s="33" t="n">
        <v>266</v>
      </c>
      <c r="C272" s="34">
        <f>IF(266&gt;Calculator!C16*12,"",Calculator!F9)</f>
        <v/>
      </c>
      <c r="D272" s="34">
        <f>IF(C272="","",C272-E272)</f>
        <v/>
      </c>
      <c r="E272" s="34">
        <f>IF(C272="","",ROUND(F271*Calculator!C15/12,2))</f>
        <v/>
      </c>
      <c r="F272" s="34">
        <f>IF(C272="","",F271-D272)</f>
        <v/>
      </c>
    </row>
    <row r="273">
      <c r="B273" s="31" t="n">
        <v>267</v>
      </c>
      <c r="C273" s="32">
        <f>IF(267&gt;Calculator!C16*12,"",Calculator!F9)</f>
        <v/>
      </c>
      <c r="D273" s="32">
        <f>IF(C273="","",C273-E273)</f>
        <v/>
      </c>
      <c r="E273" s="32">
        <f>IF(C273="","",ROUND(F272*Calculator!C15/12,2))</f>
        <v/>
      </c>
      <c r="F273" s="32">
        <f>IF(C273="","",F272-D273)</f>
        <v/>
      </c>
    </row>
    <row r="274">
      <c r="B274" s="33" t="n">
        <v>268</v>
      </c>
      <c r="C274" s="34">
        <f>IF(268&gt;Calculator!C16*12,"",Calculator!F9)</f>
        <v/>
      </c>
      <c r="D274" s="34">
        <f>IF(C274="","",C274-E274)</f>
        <v/>
      </c>
      <c r="E274" s="34">
        <f>IF(C274="","",ROUND(F273*Calculator!C15/12,2))</f>
        <v/>
      </c>
      <c r="F274" s="34">
        <f>IF(C274="","",F273-D274)</f>
        <v/>
      </c>
    </row>
    <row r="275">
      <c r="B275" s="31" t="n">
        <v>269</v>
      </c>
      <c r="C275" s="32">
        <f>IF(269&gt;Calculator!C16*12,"",Calculator!F9)</f>
        <v/>
      </c>
      <c r="D275" s="32">
        <f>IF(C275="","",C275-E275)</f>
        <v/>
      </c>
      <c r="E275" s="32">
        <f>IF(C275="","",ROUND(F274*Calculator!C15/12,2))</f>
        <v/>
      </c>
      <c r="F275" s="32">
        <f>IF(C275="","",F274-D275)</f>
        <v/>
      </c>
    </row>
    <row r="276">
      <c r="B276" s="33" t="n">
        <v>270</v>
      </c>
      <c r="C276" s="34">
        <f>IF(270&gt;Calculator!C16*12,"",Calculator!F9)</f>
        <v/>
      </c>
      <c r="D276" s="34">
        <f>IF(C276="","",C276-E276)</f>
        <v/>
      </c>
      <c r="E276" s="34">
        <f>IF(C276="","",ROUND(F275*Calculator!C15/12,2))</f>
        <v/>
      </c>
      <c r="F276" s="34">
        <f>IF(C276="","",F275-D276)</f>
        <v/>
      </c>
    </row>
    <row r="277">
      <c r="B277" s="31" t="n">
        <v>271</v>
      </c>
      <c r="C277" s="32">
        <f>IF(271&gt;Calculator!C16*12,"",Calculator!F9)</f>
        <v/>
      </c>
      <c r="D277" s="32">
        <f>IF(C277="","",C277-E277)</f>
        <v/>
      </c>
      <c r="E277" s="32">
        <f>IF(C277="","",ROUND(F276*Calculator!C15/12,2))</f>
        <v/>
      </c>
      <c r="F277" s="32">
        <f>IF(C277="","",F276-D277)</f>
        <v/>
      </c>
    </row>
    <row r="278">
      <c r="B278" s="33" t="n">
        <v>272</v>
      </c>
      <c r="C278" s="34">
        <f>IF(272&gt;Calculator!C16*12,"",Calculator!F9)</f>
        <v/>
      </c>
      <c r="D278" s="34">
        <f>IF(C278="","",C278-E278)</f>
        <v/>
      </c>
      <c r="E278" s="34">
        <f>IF(C278="","",ROUND(F277*Calculator!C15/12,2))</f>
        <v/>
      </c>
      <c r="F278" s="34">
        <f>IF(C278="","",F277-D278)</f>
        <v/>
      </c>
    </row>
    <row r="279">
      <c r="B279" s="31" t="n">
        <v>273</v>
      </c>
      <c r="C279" s="32">
        <f>IF(273&gt;Calculator!C16*12,"",Calculator!F9)</f>
        <v/>
      </c>
      <c r="D279" s="32">
        <f>IF(C279="","",C279-E279)</f>
        <v/>
      </c>
      <c r="E279" s="32">
        <f>IF(C279="","",ROUND(F278*Calculator!C15/12,2))</f>
        <v/>
      </c>
      <c r="F279" s="32">
        <f>IF(C279="","",F278-D279)</f>
        <v/>
      </c>
    </row>
    <row r="280">
      <c r="B280" s="33" t="n">
        <v>274</v>
      </c>
      <c r="C280" s="34">
        <f>IF(274&gt;Calculator!C16*12,"",Calculator!F9)</f>
        <v/>
      </c>
      <c r="D280" s="34">
        <f>IF(C280="","",C280-E280)</f>
        <v/>
      </c>
      <c r="E280" s="34">
        <f>IF(C280="","",ROUND(F279*Calculator!C15/12,2))</f>
        <v/>
      </c>
      <c r="F280" s="34">
        <f>IF(C280="","",F279-D280)</f>
        <v/>
      </c>
    </row>
    <row r="281">
      <c r="B281" s="31" t="n">
        <v>275</v>
      </c>
      <c r="C281" s="32">
        <f>IF(275&gt;Calculator!C16*12,"",Calculator!F9)</f>
        <v/>
      </c>
      <c r="D281" s="32">
        <f>IF(C281="","",C281-E281)</f>
        <v/>
      </c>
      <c r="E281" s="32">
        <f>IF(C281="","",ROUND(F280*Calculator!C15/12,2))</f>
        <v/>
      </c>
      <c r="F281" s="32">
        <f>IF(C281="","",F280-D281)</f>
        <v/>
      </c>
    </row>
    <row r="282">
      <c r="B282" s="33" t="n">
        <v>276</v>
      </c>
      <c r="C282" s="34">
        <f>IF(276&gt;Calculator!C16*12,"",Calculator!F9)</f>
        <v/>
      </c>
      <c r="D282" s="34">
        <f>IF(C282="","",C282-E282)</f>
        <v/>
      </c>
      <c r="E282" s="34">
        <f>IF(C282="","",ROUND(F281*Calculator!C15/12,2))</f>
        <v/>
      </c>
      <c r="F282" s="34">
        <f>IF(C282="","",F281-D282)</f>
        <v/>
      </c>
    </row>
    <row r="283">
      <c r="B283" s="31" t="n">
        <v>277</v>
      </c>
      <c r="C283" s="32">
        <f>IF(277&gt;Calculator!C16*12,"",Calculator!F9)</f>
        <v/>
      </c>
      <c r="D283" s="32">
        <f>IF(C283="","",C283-E283)</f>
        <v/>
      </c>
      <c r="E283" s="32">
        <f>IF(C283="","",ROUND(F282*Calculator!C15/12,2))</f>
        <v/>
      </c>
      <c r="F283" s="32">
        <f>IF(C283="","",F282-D283)</f>
        <v/>
      </c>
    </row>
    <row r="284">
      <c r="B284" s="33" t="n">
        <v>278</v>
      </c>
      <c r="C284" s="34">
        <f>IF(278&gt;Calculator!C16*12,"",Calculator!F9)</f>
        <v/>
      </c>
      <c r="D284" s="34">
        <f>IF(C284="","",C284-E284)</f>
        <v/>
      </c>
      <c r="E284" s="34">
        <f>IF(C284="","",ROUND(F283*Calculator!C15/12,2))</f>
        <v/>
      </c>
      <c r="F284" s="34">
        <f>IF(C284="","",F283-D284)</f>
        <v/>
      </c>
    </row>
    <row r="285">
      <c r="B285" s="31" t="n">
        <v>279</v>
      </c>
      <c r="C285" s="32">
        <f>IF(279&gt;Calculator!C16*12,"",Calculator!F9)</f>
        <v/>
      </c>
      <c r="D285" s="32">
        <f>IF(C285="","",C285-E285)</f>
        <v/>
      </c>
      <c r="E285" s="32">
        <f>IF(C285="","",ROUND(F284*Calculator!C15/12,2))</f>
        <v/>
      </c>
      <c r="F285" s="32">
        <f>IF(C285="","",F284-D285)</f>
        <v/>
      </c>
    </row>
    <row r="286">
      <c r="B286" s="33" t="n">
        <v>280</v>
      </c>
      <c r="C286" s="34">
        <f>IF(280&gt;Calculator!C16*12,"",Calculator!F9)</f>
        <v/>
      </c>
      <c r="D286" s="34">
        <f>IF(C286="","",C286-E286)</f>
        <v/>
      </c>
      <c r="E286" s="34">
        <f>IF(C286="","",ROUND(F285*Calculator!C15/12,2))</f>
        <v/>
      </c>
      <c r="F286" s="34">
        <f>IF(C286="","",F285-D286)</f>
        <v/>
      </c>
    </row>
    <row r="287">
      <c r="B287" s="31" t="n">
        <v>281</v>
      </c>
      <c r="C287" s="32">
        <f>IF(281&gt;Calculator!C16*12,"",Calculator!F9)</f>
        <v/>
      </c>
      <c r="D287" s="32">
        <f>IF(C287="","",C287-E287)</f>
        <v/>
      </c>
      <c r="E287" s="32">
        <f>IF(C287="","",ROUND(F286*Calculator!C15/12,2))</f>
        <v/>
      </c>
      <c r="F287" s="32">
        <f>IF(C287="","",F286-D287)</f>
        <v/>
      </c>
    </row>
    <row r="288">
      <c r="B288" s="33" t="n">
        <v>282</v>
      </c>
      <c r="C288" s="34">
        <f>IF(282&gt;Calculator!C16*12,"",Calculator!F9)</f>
        <v/>
      </c>
      <c r="D288" s="34">
        <f>IF(C288="","",C288-E288)</f>
        <v/>
      </c>
      <c r="E288" s="34">
        <f>IF(C288="","",ROUND(F287*Calculator!C15/12,2))</f>
        <v/>
      </c>
      <c r="F288" s="34">
        <f>IF(C288="","",F287-D288)</f>
        <v/>
      </c>
    </row>
    <row r="289">
      <c r="B289" s="31" t="n">
        <v>283</v>
      </c>
      <c r="C289" s="32">
        <f>IF(283&gt;Calculator!C16*12,"",Calculator!F9)</f>
        <v/>
      </c>
      <c r="D289" s="32">
        <f>IF(C289="","",C289-E289)</f>
        <v/>
      </c>
      <c r="E289" s="32">
        <f>IF(C289="","",ROUND(F288*Calculator!C15/12,2))</f>
        <v/>
      </c>
      <c r="F289" s="32">
        <f>IF(C289="","",F288-D289)</f>
        <v/>
      </c>
    </row>
    <row r="290">
      <c r="B290" s="33" t="n">
        <v>284</v>
      </c>
      <c r="C290" s="34">
        <f>IF(284&gt;Calculator!C16*12,"",Calculator!F9)</f>
        <v/>
      </c>
      <c r="D290" s="34">
        <f>IF(C290="","",C290-E290)</f>
        <v/>
      </c>
      <c r="E290" s="34">
        <f>IF(C290="","",ROUND(F289*Calculator!C15/12,2))</f>
        <v/>
      </c>
      <c r="F290" s="34">
        <f>IF(C290="","",F289-D290)</f>
        <v/>
      </c>
    </row>
    <row r="291">
      <c r="B291" s="31" t="n">
        <v>285</v>
      </c>
      <c r="C291" s="32">
        <f>IF(285&gt;Calculator!C16*12,"",Calculator!F9)</f>
        <v/>
      </c>
      <c r="D291" s="32">
        <f>IF(C291="","",C291-E291)</f>
        <v/>
      </c>
      <c r="E291" s="32">
        <f>IF(C291="","",ROUND(F290*Calculator!C15/12,2))</f>
        <v/>
      </c>
      <c r="F291" s="32">
        <f>IF(C291="","",F290-D291)</f>
        <v/>
      </c>
    </row>
    <row r="292">
      <c r="B292" s="33" t="n">
        <v>286</v>
      </c>
      <c r="C292" s="34">
        <f>IF(286&gt;Calculator!C16*12,"",Calculator!F9)</f>
        <v/>
      </c>
      <c r="D292" s="34">
        <f>IF(C292="","",C292-E292)</f>
        <v/>
      </c>
      <c r="E292" s="34">
        <f>IF(C292="","",ROUND(F291*Calculator!C15/12,2))</f>
        <v/>
      </c>
      <c r="F292" s="34">
        <f>IF(C292="","",F291-D292)</f>
        <v/>
      </c>
    </row>
    <row r="293">
      <c r="B293" s="31" t="n">
        <v>287</v>
      </c>
      <c r="C293" s="32">
        <f>IF(287&gt;Calculator!C16*12,"",Calculator!F9)</f>
        <v/>
      </c>
      <c r="D293" s="32">
        <f>IF(C293="","",C293-E293)</f>
        <v/>
      </c>
      <c r="E293" s="32">
        <f>IF(C293="","",ROUND(F292*Calculator!C15/12,2))</f>
        <v/>
      </c>
      <c r="F293" s="32">
        <f>IF(C293="","",F292-D293)</f>
        <v/>
      </c>
    </row>
    <row r="294">
      <c r="B294" s="33" t="n">
        <v>288</v>
      </c>
      <c r="C294" s="34">
        <f>IF(288&gt;Calculator!C16*12,"",Calculator!F9)</f>
        <v/>
      </c>
      <c r="D294" s="34">
        <f>IF(C294="","",C294-E294)</f>
        <v/>
      </c>
      <c r="E294" s="34">
        <f>IF(C294="","",ROUND(F293*Calculator!C15/12,2))</f>
        <v/>
      </c>
      <c r="F294" s="34">
        <f>IF(C294="","",F293-D294)</f>
        <v/>
      </c>
    </row>
    <row r="295">
      <c r="B295" s="31" t="n">
        <v>289</v>
      </c>
      <c r="C295" s="32">
        <f>IF(289&gt;Calculator!C16*12,"",Calculator!F9)</f>
        <v/>
      </c>
      <c r="D295" s="32">
        <f>IF(C295="","",C295-E295)</f>
        <v/>
      </c>
      <c r="E295" s="32">
        <f>IF(C295="","",ROUND(F294*Calculator!C15/12,2))</f>
        <v/>
      </c>
      <c r="F295" s="32">
        <f>IF(C295="","",F294-D295)</f>
        <v/>
      </c>
    </row>
    <row r="296">
      <c r="B296" s="33" t="n">
        <v>290</v>
      </c>
      <c r="C296" s="34">
        <f>IF(290&gt;Calculator!C16*12,"",Calculator!F9)</f>
        <v/>
      </c>
      <c r="D296" s="34">
        <f>IF(C296="","",C296-E296)</f>
        <v/>
      </c>
      <c r="E296" s="34">
        <f>IF(C296="","",ROUND(F295*Calculator!C15/12,2))</f>
        <v/>
      </c>
      <c r="F296" s="34">
        <f>IF(C296="","",F295-D296)</f>
        <v/>
      </c>
    </row>
    <row r="297">
      <c r="B297" s="31" t="n">
        <v>291</v>
      </c>
      <c r="C297" s="32">
        <f>IF(291&gt;Calculator!C16*12,"",Calculator!F9)</f>
        <v/>
      </c>
      <c r="D297" s="32">
        <f>IF(C297="","",C297-E297)</f>
        <v/>
      </c>
      <c r="E297" s="32">
        <f>IF(C297="","",ROUND(F296*Calculator!C15/12,2))</f>
        <v/>
      </c>
      <c r="F297" s="32">
        <f>IF(C297="","",F296-D297)</f>
        <v/>
      </c>
    </row>
    <row r="298">
      <c r="B298" s="33" t="n">
        <v>292</v>
      </c>
      <c r="C298" s="34">
        <f>IF(292&gt;Calculator!C16*12,"",Calculator!F9)</f>
        <v/>
      </c>
      <c r="D298" s="34">
        <f>IF(C298="","",C298-E298)</f>
        <v/>
      </c>
      <c r="E298" s="34">
        <f>IF(C298="","",ROUND(F297*Calculator!C15/12,2))</f>
        <v/>
      </c>
      <c r="F298" s="34">
        <f>IF(C298="","",F297-D298)</f>
        <v/>
      </c>
    </row>
    <row r="299">
      <c r="B299" s="31" t="n">
        <v>293</v>
      </c>
      <c r="C299" s="32">
        <f>IF(293&gt;Calculator!C16*12,"",Calculator!F9)</f>
        <v/>
      </c>
      <c r="D299" s="32">
        <f>IF(C299="","",C299-E299)</f>
        <v/>
      </c>
      <c r="E299" s="32">
        <f>IF(C299="","",ROUND(F298*Calculator!C15/12,2))</f>
        <v/>
      </c>
      <c r="F299" s="32">
        <f>IF(C299="","",F298-D299)</f>
        <v/>
      </c>
    </row>
    <row r="300">
      <c r="B300" s="33" t="n">
        <v>294</v>
      </c>
      <c r="C300" s="34">
        <f>IF(294&gt;Calculator!C16*12,"",Calculator!F9)</f>
        <v/>
      </c>
      <c r="D300" s="34">
        <f>IF(C300="","",C300-E300)</f>
        <v/>
      </c>
      <c r="E300" s="34">
        <f>IF(C300="","",ROUND(F299*Calculator!C15/12,2))</f>
        <v/>
      </c>
      <c r="F300" s="34">
        <f>IF(C300="","",F299-D300)</f>
        <v/>
      </c>
    </row>
    <row r="301">
      <c r="B301" s="31" t="n">
        <v>295</v>
      </c>
      <c r="C301" s="32">
        <f>IF(295&gt;Calculator!C16*12,"",Calculator!F9)</f>
        <v/>
      </c>
      <c r="D301" s="32">
        <f>IF(C301="","",C301-E301)</f>
        <v/>
      </c>
      <c r="E301" s="32">
        <f>IF(C301="","",ROUND(F300*Calculator!C15/12,2))</f>
        <v/>
      </c>
      <c r="F301" s="32">
        <f>IF(C301="","",F300-D301)</f>
        <v/>
      </c>
    </row>
    <row r="302">
      <c r="B302" s="33" t="n">
        <v>296</v>
      </c>
      <c r="C302" s="34">
        <f>IF(296&gt;Calculator!C16*12,"",Calculator!F9)</f>
        <v/>
      </c>
      <c r="D302" s="34">
        <f>IF(C302="","",C302-E302)</f>
        <v/>
      </c>
      <c r="E302" s="34">
        <f>IF(C302="","",ROUND(F301*Calculator!C15/12,2))</f>
        <v/>
      </c>
      <c r="F302" s="34">
        <f>IF(C302="","",F301-D302)</f>
        <v/>
      </c>
    </row>
    <row r="303">
      <c r="B303" s="31" t="n">
        <v>297</v>
      </c>
      <c r="C303" s="32">
        <f>IF(297&gt;Calculator!C16*12,"",Calculator!F9)</f>
        <v/>
      </c>
      <c r="D303" s="32">
        <f>IF(C303="","",C303-E303)</f>
        <v/>
      </c>
      <c r="E303" s="32">
        <f>IF(C303="","",ROUND(F302*Calculator!C15/12,2))</f>
        <v/>
      </c>
      <c r="F303" s="32">
        <f>IF(C303="","",F302-D303)</f>
        <v/>
      </c>
    </row>
    <row r="304">
      <c r="B304" s="33" t="n">
        <v>298</v>
      </c>
      <c r="C304" s="34">
        <f>IF(298&gt;Calculator!C16*12,"",Calculator!F9)</f>
        <v/>
      </c>
      <c r="D304" s="34">
        <f>IF(C304="","",C304-E304)</f>
        <v/>
      </c>
      <c r="E304" s="34">
        <f>IF(C304="","",ROUND(F303*Calculator!C15/12,2))</f>
        <v/>
      </c>
      <c r="F304" s="34">
        <f>IF(C304="","",F303-D304)</f>
        <v/>
      </c>
    </row>
    <row r="305">
      <c r="B305" s="31" t="n">
        <v>299</v>
      </c>
      <c r="C305" s="32">
        <f>IF(299&gt;Calculator!C16*12,"",Calculator!F9)</f>
        <v/>
      </c>
      <c r="D305" s="32">
        <f>IF(C305="","",C305-E305)</f>
        <v/>
      </c>
      <c r="E305" s="32">
        <f>IF(C305="","",ROUND(F304*Calculator!C15/12,2))</f>
        <v/>
      </c>
      <c r="F305" s="32">
        <f>IF(C305="","",F304-D305)</f>
        <v/>
      </c>
    </row>
    <row r="306">
      <c r="B306" s="33" t="n">
        <v>300</v>
      </c>
      <c r="C306" s="34">
        <f>IF(300&gt;Calculator!C16*12,"",Calculator!F9)</f>
        <v/>
      </c>
      <c r="D306" s="34">
        <f>IF(C306="","",C306-E306)</f>
        <v/>
      </c>
      <c r="E306" s="34">
        <f>IF(C306="","",ROUND(F305*Calculator!C15/12,2))</f>
        <v/>
      </c>
      <c r="F306" s="34">
        <f>IF(C306="","",F305-D306)</f>
        <v/>
      </c>
    </row>
    <row r="307">
      <c r="B307" s="31" t="n">
        <v>301</v>
      </c>
      <c r="C307" s="32">
        <f>IF(301&gt;Calculator!C16*12,"",Calculator!F9)</f>
        <v/>
      </c>
      <c r="D307" s="32">
        <f>IF(C307="","",C307-E307)</f>
        <v/>
      </c>
      <c r="E307" s="32">
        <f>IF(C307="","",ROUND(F306*Calculator!C15/12,2))</f>
        <v/>
      </c>
      <c r="F307" s="32">
        <f>IF(C307="","",F306-D307)</f>
        <v/>
      </c>
    </row>
    <row r="308">
      <c r="B308" s="33" t="n">
        <v>302</v>
      </c>
      <c r="C308" s="34">
        <f>IF(302&gt;Calculator!C16*12,"",Calculator!F9)</f>
        <v/>
      </c>
      <c r="D308" s="34">
        <f>IF(C308="","",C308-E308)</f>
        <v/>
      </c>
      <c r="E308" s="34">
        <f>IF(C308="","",ROUND(F307*Calculator!C15/12,2))</f>
        <v/>
      </c>
      <c r="F308" s="34">
        <f>IF(C308="","",F307-D308)</f>
        <v/>
      </c>
    </row>
    <row r="309">
      <c r="B309" s="31" t="n">
        <v>303</v>
      </c>
      <c r="C309" s="32">
        <f>IF(303&gt;Calculator!C16*12,"",Calculator!F9)</f>
        <v/>
      </c>
      <c r="D309" s="32">
        <f>IF(C309="","",C309-E309)</f>
        <v/>
      </c>
      <c r="E309" s="32">
        <f>IF(C309="","",ROUND(F308*Calculator!C15/12,2))</f>
        <v/>
      </c>
      <c r="F309" s="32">
        <f>IF(C309="","",F308-D309)</f>
        <v/>
      </c>
    </row>
    <row r="310">
      <c r="B310" s="33" t="n">
        <v>304</v>
      </c>
      <c r="C310" s="34">
        <f>IF(304&gt;Calculator!C16*12,"",Calculator!F9)</f>
        <v/>
      </c>
      <c r="D310" s="34">
        <f>IF(C310="","",C310-E310)</f>
        <v/>
      </c>
      <c r="E310" s="34">
        <f>IF(C310="","",ROUND(F309*Calculator!C15/12,2))</f>
        <v/>
      </c>
      <c r="F310" s="34">
        <f>IF(C310="","",F309-D310)</f>
        <v/>
      </c>
    </row>
    <row r="311">
      <c r="B311" s="31" t="n">
        <v>305</v>
      </c>
      <c r="C311" s="32">
        <f>IF(305&gt;Calculator!C16*12,"",Calculator!F9)</f>
        <v/>
      </c>
      <c r="D311" s="32">
        <f>IF(C311="","",C311-E311)</f>
        <v/>
      </c>
      <c r="E311" s="32">
        <f>IF(C311="","",ROUND(F310*Calculator!C15/12,2))</f>
        <v/>
      </c>
      <c r="F311" s="32">
        <f>IF(C311="","",F310-D311)</f>
        <v/>
      </c>
    </row>
    <row r="312">
      <c r="B312" s="33" t="n">
        <v>306</v>
      </c>
      <c r="C312" s="34">
        <f>IF(306&gt;Calculator!C16*12,"",Calculator!F9)</f>
        <v/>
      </c>
      <c r="D312" s="34">
        <f>IF(C312="","",C312-E312)</f>
        <v/>
      </c>
      <c r="E312" s="34">
        <f>IF(C312="","",ROUND(F311*Calculator!C15/12,2))</f>
        <v/>
      </c>
      <c r="F312" s="34">
        <f>IF(C312="","",F311-D312)</f>
        <v/>
      </c>
    </row>
    <row r="313">
      <c r="B313" s="31" t="n">
        <v>307</v>
      </c>
      <c r="C313" s="32">
        <f>IF(307&gt;Calculator!C16*12,"",Calculator!F9)</f>
        <v/>
      </c>
      <c r="D313" s="32">
        <f>IF(C313="","",C313-E313)</f>
        <v/>
      </c>
      <c r="E313" s="32">
        <f>IF(C313="","",ROUND(F312*Calculator!C15/12,2))</f>
        <v/>
      </c>
      <c r="F313" s="32">
        <f>IF(C313="","",F312-D313)</f>
        <v/>
      </c>
    </row>
    <row r="314">
      <c r="B314" s="33" t="n">
        <v>308</v>
      </c>
      <c r="C314" s="34">
        <f>IF(308&gt;Calculator!C16*12,"",Calculator!F9)</f>
        <v/>
      </c>
      <c r="D314" s="34">
        <f>IF(C314="","",C314-E314)</f>
        <v/>
      </c>
      <c r="E314" s="34">
        <f>IF(C314="","",ROUND(F313*Calculator!C15/12,2))</f>
        <v/>
      </c>
      <c r="F314" s="34">
        <f>IF(C314="","",F313-D314)</f>
        <v/>
      </c>
    </row>
    <row r="315">
      <c r="B315" s="31" t="n">
        <v>309</v>
      </c>
      <c r="C315" s="32">
        <f>IF(309&gt;Calculator!C16*12,"",Calculator!F9)</f>
        <v/>
      </c>
      <c r="D315" s="32">
        <f>IF(C315="","",C315-E315)</f>
        <v/>
      </c>
      <c r="E315" s="32">
        <f>IF(C315="","",ROUND(F314*Calculator!C15/12,2))</f>
        <v/>
      </c>
      <c r="F315" s="32">
        <f>IF(C315="","",F314-D315)</f>
        <v/>
      </c>
    </row>
    <row r="316">
      <c r="B316" s="33" t="n">
        <v>310</v>
      </c>
      <c r="C316" s="34">
        <f>IF(310&gt;Calculator!C16*12,"",Calculator!F9)</f>
        <v/>
      </c>
      <c r="D316" s="34">
        <f>IF(C316="","",C316-E316)</f>
        <v/>
      </c>
      <c r="E316" s="34">
        <f>IF(C316="","",ROUND(F315*Calculator!C15/12,2))</f>
        <v/>
      </c>
      <c r="F316" s="34">
        <f>IF(C316="","",F315-D316)</f>
        <v/>
      </c>
    </row>
    <row r="317">
      <c r="B317" s="31" t="n">
        <v>311</v>
      </c>
      <c r="C317" s="32">
        <f>IF(311&gt;Calculator!C16*12,"",Calculator!F9)</f>
        <v/>
      </c>
      <c r="D317" s="32">
        <f>IF(C317="","",C317-E317)</f>
        <v/>
      </c>
      <c r="E317" s="32">
        <f>IF(C317="","",ROUND(F316*Calculator!C15/12,2))</f>
        <v/>
      </c>
      <c r="F317" s="32">
        <f>IF(C317="","",F316-D317)</f>
        <v/>
      </c>
    </row>
    <row r="318">
      <c r="B318" s="33" t="n">
        <v>312</v>
      </c>
      <c r="C318" s="34">
        <f>IF(312&gt;Calculator!C16*12,"",Calculator!F9)</f>
        <v/>
      </c>
      <c r="D318" s="34">
        <f>IF(C318="","",C318-E318)</f>
        <v/>
      </c>
      <c r="E318" s="34">
        <f>IF(C318="","",ROUND(F317*Calculator!C15/12,2))</f>
        <v/>
      </c>
      <c r="F318" s="34">
        <f>IF(C318="","",F317-D318)</f>
        <v/>
      </c>
    </row>
    <row r="319">
      <c r="B319" s="31" t="n">
        <v>313</v>
      </c>
      <c r="C319" s="32">
        <f>IF(313&gt;Calculator!C16*12,"",Calculator!F9)</f>
        <v/>
      </c>
      <c r="D319" s="32">
        <f>IF(C319="","",C319-E319)</f>
        <v/>
      </c>
      <c r="E319" s="32">
        <f>IF(C319="","",ROUND(F318*Calculator!C15/12,2))</f>
        <v/>
      </c>
      <c r="F319" s="32">
        <f>IF(C319="","",F318-D319)</f>
        <v/>
      </c>
    </row>
    <row r="320">
      <c r="B320" s="33" t="n">
        <v>314</v>
      </c>
      <c r="C320" s="34">
        <f>IF(314&gt;Calculator!C16*12,"",Calculator!F9)</f>
        <v/>
      </c>
      <c r="D320" s="34">
        <f>IF(C320="","",C320-E320)</f>
        <v/>
      </c>
      <c r="E320" s="34">
        <f>IF(C320="","",ROUND(F319*Calculator!C15/12,2))</f>
        <v/>
      </c>
      <c r="F320" s="34">
        <f>IF(C320="","",F319-D320)</f>
        <v/>
      </c>
    </row>
    <row r="321">
      <c r="B321" s="31" t="n">
        <v>315</v>
      </c>
      <c r="C321" s="32">
        <f>IF(315&gt;Calculator!C16*12,"",Calculator!F9)</f>
        <v/>
      </c>
      <c r="D321" s="32">
        <f>IF(C321="","",C321-E321)</f>
        <v/>
      </c>
      <c r="E321" s="32">
        <f>IF(C321="","",ROUND(F320*Calculator!C15/12,2))</f>
        <v/>
      </c>
      <c r="F321" s="32">
        <f>IF(C321="","",F320-D321)</f>
        <v/>
      </c>
    </row>
    <row r="322">
      <c r="B322" s="33" t="n">
        <v>316</v>
      </c>
      <c r="C322" s="34">
        <f>IF(316&gt;Calculator!C16*12,"",Calculator!F9)</f>
        <v/>
      </c>
      <c r="D322" s="34">
        <f>IF(C322="","",C322-E322)</f>
        <v/>
      </c>
      <c r="E322" s="34">
        <f>IF(C322="","",ROUND(F321*Calculator!C15/12,2))</f>
        <v/>
      </c>
      <c r="F322" s="34">
        <f>IF(C322="","",F321-D322)</f>
        <v/>
      </c>
    </row>
    <row r="323">
      <c r="B323" s="31" t="n">
        <v>317</v>
      </c>
      <c r="C323" s="32">
        <f>IF(317&gt;Calculator!C16*12,"",Calculator!F9)</f>
        <v/>
      </c>
      <c r="D323" s="32">
        <f>IF(C323="","",C323-E323)</f>
        <v/>
      </c>
      <c r="E323" s="32">
        <f>IF(C323="","",ROUND(F322*Calculator!C15/12,2))</f>
        <v/>
      </c>
      <c r="F323" s="32">
        <f>IF(C323="","",F322-D323)</f>
        <v/>
      </c>
    </row>
    <row r="324">
      <c r="B324" s="33" t="n">
        <v>318</v>
      </c>
      <c r="C324" s="34">
        <f>IF(318&gt;Calculator!C16*12,"",Calculator!F9)</f>
        <v/>
      </c>
      <c r="D324" s="34">
        <f>IF(C324="","",C324-E324)</f>
        <v/>
      </c>
      <c r="E324" s="34">
        <f>IF(C324="","",ROUND(F323*Calculator!C15/12,2))</f>
        <v/>
      </c>
      <c r="F324" s="34">
        <f>IF(C324="","",F323-D324)</f>
        <v/>
      </c>
    </row>
    <row r="325">
      <c r="B325" s="31" t="n">
        <v>319</v>
      </c>
      <c r="C325" s="32">
        <f>IF(319&gt;Calculator!C16*12,"",Calculator!F9)</f>
        <v/>
      </c>
      <c r="D325" s="32">
        <f>IF(C325="","",C325-E325)</f>
        <v/>
      </c>
      <c r="E325" s="32">
        <f>IF(C325="","",ROUND(F324*Calculator!C15/12,2))</f>
        <v/>
      </c>
      <c r="F325" s="32">
        <f>IF(C325="","",F324-D325)</f>
        <v/>
      </c>
    </row>
    <row r="326">
      <c r="B326" s="33" t="n">
        <v>320</v>
      </c>
      <c r="C326" s="34">
        <f>IF(320&gt;Calculator!C16*12,"",Calculator!F9)</f>
        <v/>
      </c>
      <c r="D326" s="34">
        <f>IF(C326="","",C326-E326)</f>
        <v/>
      </c>
      <c r="E326" s="34">
        <f>IF(C326="","",ROUND(F325*Calculator!C15/12,2))</f>
        <v/>
      </c>
      <c r="F326" s="34">
        <f>IF(C326="","",F325-D326)</f>
        <v/>
      </c>
    </row>
    <row r="327">
      <c r="B327" s="31" t="n">
        <v>321</v>
      </c>
      <c r="C327" s="32">
        <f>IF(321&gt;Calculator!C16*12,"",Calculator!F9)</f>
        <v/>
      </c>
      <c r="D327" s="32">
        <f>IF(C327="","",C327-E327)</f>
        <v/>
      </c>
      <c r="E327" s="32">
        <f>IF(C327="","",ROUND(F326*Calculator!C15/12,2))</f>
        <v/>
      </c>
      <c r="F327" s="32">
        <f>IF(C327="","",F326-D327)</f>
        <v/>
      </c>
    </row>
    <row r="328">
      <c r="B328" s="33" t="n">
        <v>322</v>
      </c>
      <c r="C328" s="34">
        <f>IF(322&gt;Calculator!C16*12,"",Calculator!F9)</f>
        <v/>
      </c>
      <c r="D328" s="34">
        <f>IF(C328="","",C328-E328)</f>
        <v/>
      </c>
      <c r="E328" s="34">
        <f>IF(C328="","",ROUND(F327*Calculator!C15/12,2))</f>
        <v/>
      </c>
      <c r="F328" s="34">
        <f>IF(C328="","",F327-D328)</f>
        <v/>
      </c>
    </row>
    <row r="329">
      <c r="B329" s="31" t="n">
        <v>323</v>
      </c>
      <c r="C329" s="32">
        <f>IF(323&gt;Calculator!C16*12,"",Calculator!F9)</f>
        <v/>
      </c>
      <c r="D329" s="32">
        <f>IF(C329="","",C329-E329)</f>
        <v/>
      </c>
      <c r="E329" s="32">
        <f>IF(C329="","",ROUND(F328*Calculator!C15/12,2))</f>
        <v/>
      </c>
      <c r="F329" s="32">
        <f>IF(C329="","",F328-D329)</f>
        <v/>
      </c>
    </row>
    <row r="330">
      <c r="B330" s="33" t="n">
        <v>324</v>
      </c>
      <c r="C330" s="34">
        <f>IF(324&gt;Calculator!C16*12,"",Calculator!F9)</f>
        <v/>
      </c>
      <c r="D330" s="34">
        <f>IF(C330="","",C330-E330)</f>
        <v/>
      </c>
      <c r="E330" s="34">
        <f>IF(C330="","",ROUND(F329*Calculator!C15/12,2))</f>
        <v/>
      </c>
      <c r="F330" s="34">
        <f>IF(C330="","",F329-D330)</f>
        <v/>
      </c>
    </row>
    <row r="331">
      <c r="B331" s="31" t="n">
        <v>325</v>
      </c>
      <c r="C331" s="32">
        <f>IF(325&gt;Calculator!C16*12,"",Calculator!F9)</f>
        <v/>
      </c>
      <c r="D331" s="32">
        <f>IF(C331="","",C331-E331)</f>
        <v/>
      </c>
      <c r="E331" s="32">
        <f>IF(C331="","",ROUND(F330*Calculator!C15/12,2))</f>
        <v/>
      </c>
      <c r="F331" s="32">
        <f>IF(C331="","",F330-D331)</f>
        <v/>
      </c>
    </row>
    <row r="332">
      <c r="B332" s="33" t="n">
        <v>326</v>
      </c>
      <c r="C332" s="34">
        <f>IF(326&gt;Calculator!C16*12,"",Calculator!F9)</f>
        <v/>
      </c>
      <c r="D332" s="34">
        <f>IF(C332="","",C332-E332)</f>
        <v/>
      </c>
      <c r="E332" s="34">
        <f>IF(C332="","",ROUND(F331*Calculator!C15/12,2))</f>
        <v/>
      </c>
      <c r="F332" s="34">
        <f>IF(C332="","",F331-D332)</f>
        <v/>
      </c>
    </row>
    <row r="333">
      <c r="B333" s="31" t="n">
        <v>327</v>
      </c>
      <c r="C333" s="32">
        <f>IF(327&gt;Calculator!C16*12,"",Calculator!F9)</f>
        <v/>
      </c>
      <c r="D333" s="32">
        <f>IF(C333="","",C333-E333)</f>
        <v/>
      </c>
      <c r="E333" s="32">
        <f>IF(C333="","",ROUND(F332*Calculator!C15/12,2))</f>
        <v/>
      </c>
      <c r="F333" s="32">
        <f>IF(C333="","",F332-D333)</f>
        <v/>
      </c>
    </row>
    <row r="334">
      <c r="B334" s="33" t="n">
        <v>328</v>
      </c>
      <c r="C334" s="34">
        <f>IF(328&gt;Calculator!C16*12,"",Calculator!F9)</f>
        <v/>
      </c>
      <c r="D334" s="34">
        <f>IF(C334="","",C334-E334)</f>
        <v/>
      </c>
      <c r="E334" s="34">
        <f>IF(C334="","",ROUND(F333*Calculator!C15/12,2))</f>
        <v/>
      </c>
      <c r="F334" s="34">
        <f>IF(C334="","",F333-D334)</f>
        <v/>
      </c>
    </row>
    <row r="335">
      <c r="B335" s="31" t="n">
        <v>329</v>
      </c>
      <c r="C335" s="32">
        <f>IF(329&gt;Calculator!C16*12,"",Calculator!F9)</f>
        <v/>
      </c>
      <c r="D335" s="32">
        <f>IF(C335="","",C335-E335)</f>
        <v/>
      </c>
      <c r="E335" s="32">
        <f>IF(C335="","",ROUND(F334*Calculator!C15/12,2))</f>
        <v/>
      </c>
      <c r="F335" s="32">
        <f>IF(C335="","",F334-D335)</f>
        <v/>
      </c>
    </row>
    <row r="336">
      <c r="B336" s="33" t="n">
        <v>330</v>
      </c>
      <c r="C336" s="34">
        <f>IF(330&gt;Calculator!C16*12,"",Calculator!F9)</f>
        <v/>
      </c>
      <c r="D336" s="34">
        <f>IF(C336="","",C336-E336)</f>
        <v/>
      </c>
      <c r="E336" s="34">
        <f>IF(C336="","",ROUND(F335*Calculator!C15/12,2))</f>
        <v/>
      </c>
      <c r="F336" s="34">
        <f>IF(C336="","",F335-D336)</f>
        <v/>
      </c>
    </row>
    <row r="337">
      <c r="B337" s="31" t="n">
        <v>331</v>
      </c>
      <c r="C337" s="32">
        <f>IF(331&gt;Calculator!C16*12,"",Calculator!F9)</f>
        <v/>
      </c>
      <c r="D337" s="32">
        <f>IF(C337="","",C337-E337)</f>
        <v/>
      </c>
      <c r="E337" s="32">
        <f>IF(C337="","",ROUND(F336*Calculator!C15/12,2))</f>
        <v/>
      </c>
      <c r="F337" s="32">
        <f>IF(C337="","",F336-D337)</f>
        <v/>
      </c>
    </row>
    <row r="338">
      <c r="B338" s="33" t="n">
        <v>332</v>
      </c>
      <c r="C338" s="34">
        <f>IF(332&gt;Calculator!C16*12,"",Calculator!F9)</f>
        <v/>
      </c>
      <c r="D338" s="34">
        <f>IF(C338="","",C338-E338)</f>
        <v/>
      </c>
      <c r="E338" s="34">
        <f>IF(C338="","",ROUND(F337*Calculator!C15/12,2))</f>
        <v/>
      </c>
      <c r="F338" s="34">
        <f>IF(C338="","",F337-D338)</f>
        <v/>
      </c>
    </row>
    <row r="339">
      <c r="B339" s="31" t="n">
        <v>333</v>
      </c>
      <c r="C339" s="32">
        <f>IF(333&gt;Calculator!C16*12,"",Calculator!F9)</f>
        <v/>
      </c>
      <c r="D339" s="32">
        <f>IF(C339="","",C339-E339)</f>
        <v/>
      </c>
      <c r="E339" s="32">
        <f>IF(C339="","",ROUND(F338*Calculator!C15/12,2))</f>
        <v/>
      </c>
      <c r="F339" s="32">
        <f>IF(C339="","",F338-D339)</f>
        <v/>
      </c>
    </row>
    <row r="340">
      <c r="B340" s="33" t="n">
        <v>334</v>
      </c>
      <c r="C340" s="34">
        <f>IF(334&gt;Calculator!C16*12,"",Calculator!F9)</f>
        <v/>
      </c>
      <c r="D340" s="34">
        <f>IF(C340="","",C340-E340)</f>
        <v/>
      </c>
      <c r="E340" s="34">
        <f>IF(C340="","",ROUND(F339*Calculator!C15/12,2))</f>
        <v/>
      </c>
      <c r="F340" s="34">
        <f>IF(C340="","",F339-D340)</f>
        <v/>
      </c>
    </row>
    <row r="341">
      <c r="B341" s="31" t="n">
        <v>335</v>
      </c>
      <c r="C341" s="32">
        <f>IF(335&gt;Calculator!C16*12,"",Calculator!F9)</f>
        <v/>
      </c>
      <c r="D341" s="32">
        <f>IF(C341="","",C341-E341)</f>
        <v/>
      </c>
      <c r="E341" s="32">
        <f>IF(C341="","",ROUND(F340*Calculator!C15/12,2))</f>
        <v/>
      </c>
      <c r="F341" s="32">
        <f>IF(C341="","",F340-D341)</f>
        <v/>
      </c>
    </row>
    <row r="342">
      <c r="B342" s="33" t="n">
        <v>336</v>
      </c>
      <c r="C342" s="34">
        <f>IF(336&gt;Calculator!C16*12,"",Calculator!F9)</f>
        <v/>
      </c>
      <c r="D342" s="34">
        <f>IF(C342="","",C342-E342)</f>
        <v/>
      </c>
      <c r="E342" s="34">
        <f>IF(C342="","",ROUND(F341*Calculator!C15/12,2))</f>
        <v/>
      </c>
      <c r="F342" s="34">
        <f>IF(C342="","",F341-D342)</f>
        <v/>
      </c>
    </row>
    <row r="343">
      <c r="B343" s="31" t="n">
        <v>337</v>
      </c>
      <c r="C343" s="32">
        <f>IF(337&gt;Calculator!C16*12,"",Calculator!F9)</f>
        <v/>
      </c>
      <c r="D343" s="32">
        <f>IF(C343="","",C343-E343)</f>
        <v/>
      </c>
      <c r="E343" s="32">
        <f>IF(C343="","",ROUND(F342*Calculator!C15/12,2))</f>
        <v/>
      </c>
      <c r="F343" s="32">
        <f>IF(C343="","",F342-D343)</f>
        <v/>
      </c>
    </row>
    <row r="344">
      <c r="B344" s="33" t="n">
        <v>338</v>
      </c>
      <c r="C344" s="34">
        <f>IF(338&gt;Calculator!C16*12,"",Calculator!F9)</f>
        <v/>
      </c>
      <c r="D344" s="34">
        <f>IF(C344="","",C344-E344)</f>
        <v/>
      </c>
      <c r="E344" s="34">
        <f>IF(C344="","",ROUND(F343*Calculator!C15/12,2))</f>
        <v/>
      </c>
      <c r="F344" s="34">
        <f>IF(C344="","",F343-D344)</f>
        <v/>
      </c>
    </row>
    <row r="345">
      <c r="B345" s="31" t="n">
        <v>339</v>
      </c>
      <c r="C345" s="32">
        <f>IF(339&gt;Calculator!C16*12,"",Calculator!F9)</f>
        <v/>
      </c>
      <c r="D345" s="32">
        <f>IF(C345="","",C345-E345)</f>
        <v/>
      </c>
      <c r="E345" s="32">
        <f>IF(C345="","",ROUND(F344*Calculator!C15/12,2))</f>
        <v/>
      </c>
      <c r="F345" s="32">
        <f>IF(C345="","",F344-D345)</f>
        <v/>
      </c>
    </row>
    <row r="346">
      <c r="B346" s="33" t="n">
        <v>340</v>
      </c>
      <c r="C346" s="34">
        <f>IF(340&gt;Calculator!C16*12,"",Calculator!F9)</f>
        <v/>
      </c>
      <c r="D346" s="34">
        <f>IF(C346="","",C346-E346)</f>
        <v/>
      </c>
      <c r="E346" s="34">
        <f>IF(C346="","",ROUND(F345*Calculator!C15/12,2))</f>
        <v/>
      </c>
      <c r="F346" s="34">
        <f>IF(C346="","",F345-D346)</f>
        <v/>
      </c>
    </row>
    <row r="347">
      <c r="B347" s="31" t="n">
        <v>341</v>
      </c>
      <c r="C347" s="32">
        <f>IF(341&gt;Calculator!C16*12,"",Calculator!F9)</f>
        <v/>
      </c>
      <c r="D347" s="32">
        <f>IF(C347="","",C347-E347)</f>
        <v/>
      </c>
      <c r="E347" s="32">
        <f>IF(C347="","",ROUND(F346*Calculator!C15/12,2))</f>
        <v/>
      </c>
      <c r="F347" s="32">
        <f>IF(C347="","",F346-D347)</f>
        <v/>
      </c>
    </row>
    <row r="348">
      <c r="B348" s="33" t="n">
        <v>342</v>
      </c>
      <c r="C348" s="34">
        <f>IF(342&gt;Calculator!C16*12,"",Calculator!F9)</f>
        <v/>
      </c>
      <c r="D348" s="34">
        <f>IF(C348="","",C348-E348)</f>
        <v/>
      </c>
      <c r="E348" s="34">
        <f>IF(C348="","",ROUND(F347*Calculator!C15/12,2))</f>
        <v/>
      </c>
      <c r="F348" s="34">
        <f>IF(C348="","",F347-D348)</f>
        <v/>
      </c>
    </row>
    <row r="349">
      <c r="B349" s="31" t="n">
        <v>343</v>
      </c>
      <c r="C349" s="32">
        <f>IF(343&gt;Calculator!C16*12,"",Calculator!F9)</f>
        <v/>
      </c>
      <c r="D349" s="32">
        <f>IF(C349="","",C349-E349)</f>
        <v/>
      </c>
      <c r="E349" s="32">
        <f>IF(C349="","",ROUND(F348*Calculator!C15/12,2))</f>
        <v/>
      </c>
      <c r="F349" s="32">
        <f>IF(C349="","",F348-D349)</f>
        <v/>
      </c>
    </row>
    <row r="350">
      <c r="B350" s="33" t="n">
        <v>344</v>
      </c>
      <c r="C350" s="34">
        <f>IF(344&gt;Calculator!C16*12,"",Calculator!F9)</f>
        <v/>
      </c>
      <c r="D350" s="34">
        <f>IF(C350="","",C350-E350)</f>
        <v/>
      </c>
      <c r="E350" s="34">
        <f>IF(C350="","",ROUND(F349*Calculator!C15/12,2))</f>
        <v/>
      </c>
      <c r="F350" s="34">
        <f>IF(C350="","",F349-D350)</f>
        <v/>
      </c>
    </row>
    <row r="351">
      <c r="B351" s="31" t="n">
        <v>345</v>
      </c>
      <c r="C351" s="32">
        <f>IF(345&gt;Calculator!C16*12,"",Calculator!F9)</f>
        <v/>
      </c>
      <c r="D351" s="32">
        <f>IF(C351="","",C351-E351)</f>
        <v/>
      </c>
      <c r="E351" s="32">
        <f>IF(C351="","",ROUND(F350*Calculator!C15/12,2))</f>
        <v/>
      </c>
      <c r="F351" s="32">
        <f>IF(C351="","",F350-D351)</f>
        <v/>
      </c>
    </row>
    <row r="352">
      <c r="B352" s="33" t="n">
        <v>346</v>
      </c>
      <c r="C352" s="34">
        <f>IF(346&gt;Calculator!C16*12,"",Calculator!F9)</f>
        <v/>
      </c>
      <c r="D352" s="34">
        <f>IF(C352="","",C352-E352)</f>
        <v/>
      </c>
      <c r="E352" s="34">
        <f>IF(C352="","",ROUND(F351*Calculator!C15/12,2))</f>
        <v/>
      </c>
      <c r="F352" s="34">
        <f>IF(C352="","",F351-D352)</f>
        <v/>
      </c>
    </row>
    <row r="353">
      <c r="B353" s="31" t="n">
        <v>347</v>
      </c>
      <c r="C353" s="32">
        <f>IF(347&gt;Calculator!C16*12,"",Calculator!F9)</f>
        <v/>
      </c>
      <c r="D353" s="32">
        <f>IF(C353="","",C353-E353)</f>
        <v/>
      </c>
      <c r="E353" s="32">
        <f>IF(C353="","",ROUND(F352*Calculator!C15/12,2))</f>
        <v/>
      </c>
      <c r="F353" s="32">
        <f>IF(C353="","",F352-D353)</f>
        <v/>
      </c>
    </row>
    <row r="354">
      <c r="B354" s="33" t="n">
        <v>348</v>
      </c>
      <c r="C354" s="34">
        <f>IF(348&gt;Calculator!C16*12,"",Calculator!F9)</f>
        <v/>
      </c>
      <c r="D354" s="34">
        <f>IF(C354="","",C354-E354)</f>
        <v/>
      </c>
      <c r="E354" s="34">
        <f>IF(C354="","",ROUND(F353*Calculator!C15/12,2))</f>
        <v/>
      </c>
      <c r="F354" s="34">
        <f>IF(C354="","",F353-D354)</f>
        <v/>
      </c>
    </row>
    <row r="355">
      <c r="B355" s="31" t="n">
        <v>349</v>
      </c>
      <c r="C355" s="32">
        <f>IF(349&gt;Calculator!C16*12,"",Calculator!F9)</f>
        <v/>
      </c>
      <c r="D355" s="32">
        <f>IF(C355="","",C355-E355)</f>
        <v/>
      </c>
      <c r="E355" s="32">
        <f>IF(C355="","",ROUND(F354*Calculator!C15/12,2))</f>
        <v/>
      </c>
      <c r="F355" s="32">
        <f>IF(C355="","",F354-D355)</f>
        <v/>
      </c>
    </row>
    <row r="356">
      <c r="B356" s="33" t="n">
        <v>350</v>
      </c>
      <c r="C356" s="34">
        <f>IF(350&gt;Calculator!C16*12,"",Calculator!F9)</f>
        <v/>
      </c>
      <c r="D356" s="34">
        <f>IF(C356="","",C356-E356)</f>
        <v/>
      </c>
      <c r="E356" s="34">
        <f>IF(C356="","",ROUND(F355*Calculator!C15/12,2))</f>
        <v/>
      </c>
      <c r="F356" s="34">
        <f>IF(C356="","",F355-D356)</f>
        <v/>
      </c>
    </row>
    <row r="357">
      <c r="B357" s="31" t="n">
        <v>351</v>
      </c>
      <c r="C357" s="32">
        <f>IF(351&gt;Calculator!C16*12,"",Calculator!F9)</f>
        <v/>
      </c>
      <c r="D357" s="32">
        <f>IF(C357="","",C357-E357)</f>
        <v/>
      </c>
      <c r="E357" s="32">
        <f>IF(C357="","",ROUND(F356*Calculator!C15/12,2))</f>
        <v/>
      </c>
      <c r="F357" s="32">
        <f>IF(C357="","",F356-D357)</f>
        <v/>
      </c>
    </row>
    <row r="358">
      <c r="B358" s="33" t="n">
        <v>352</v>
      </c>
      <c r="C358" s="34">
        <f>IF(352&gt;Calculator!C16*12,"",Calculator!F9)</f>
        <v/>
      </c>
      <c r="D358" s="34">
        <f>IF(C358="","",C358-E358)</f>
        <v/>
      </c>
      <c r="E358" s="34">
        <f>IF(C358="","",ROUND(F357*Calculator!C15/12,2))</f>
        <v/>
      </c>
      <c r="F358" s="34">
        <f>IF(C358="","",F357-D358)</f>
        <v/>
      </c>
    </row>
    <row r="359">
      <c r="B359" s="31" t="n">
        <v>353</v>
      </c>
      <c r="C359" s="32">
        <f>IF(353&gt;Calculator!C16*12,"",Calculator!F9)</f>
        <v/>
      </c>
      <c r="D359" s="32">
        <f>IF(C359="","",C359-E359)</f>
        <v/>
      </c>
      <c r="E359" s="32">
        <f>IF(C359="","",ROUND(F358*Calculator!C15/12,2))</f>
        <v/>
      </c>
      <c r="F359" s="32">
        <f>IF(C359="","",F358-D359)</f>
        <v/>
      </c>
    </row>
    <row r="360">
      <c r="B360" s="33" t="n">
        <v>354</v>
      </c>
      <c r="C360" s="34">
        <f>IF(354&gt;Calculator!C16*12,"",Calculator!F9)</f>
        <v/>
      </c>
      <c r="D360" s="34">
        <f>IF(C360="","",C360-E360)</f>
        <v/>
      </c>
      <c r="E360" s="34">
        <f>IF(C360="","",ROUND(F359*Calculator!C15/12,2))</f>
        <v/>
      </c>
      <c r="F360" s="34">
        <f>IF(C360="","",F359-D360)</f>
        <v/>
      </c>
    </row>
    <row r="361">
      <c r="B361" s="31" t="n">
        <v>355</v>
      </c>
      <c r="C361" s="32">
        <f>IF(355&gt;Calculator!C16*12,"",Calculator!F9)</f>
        <v/>
      </c>
      <c r="D361" s="32">
        <f>IF(C361="","",C361-E361)</f>
        <v/>
      </c>
      <c r="E361" s="32">
        <f>IF(C361="","",ROUND(F360*Calculator!C15/12,2))</f>
        <v/>
      </c>
      <c r="F361" s="32">
        <f>IF(C361="","",F360-D361)</f>
        <v/>
      </c>
    </row>
    <row r="362">
      <c r="B362" s="33" t="n">
        <v>356</v>
      </c>
      <c r="C362" s="34">
        <f>IF(356&gt;Calculator!C16*12,"",Calculator!F9)</f>
        <v/>
      </c>
      <c r="D362" s="34">
        <f>IF(C362="","",C362-E362)</f>
        <v/>
      </c>
      <c r="E362" s="34">
        <f>IF(C362="","",ROUND(F361*Calculator!C15/12,2))</f>
        <v/>
      </c>
      <c r="F362" s="34">
        <f>IF(C362="","",F361-D362)</f>
        <v/>
      </c>
    </row>
    <row r="363">
      <c r="B363" s="31" t="n">
        <v>357</v>
      </c>
      <c r="C363" s="32">
        <f>IF(357&gt;Calculator!C16*12,"",Calculator!F9)</f>
        <v/>
      </c>
      <c r="D363" s="32">
        <f>IF(C363="","",C363-E363)</f>
        <v/>
      </c>
      <c r="E363" s="32">
        <f>IF(C363="","",ROUND(F362*Calculator!C15/12,2))</f>
        <v/>
      </c>
      <c r="F363" s="32">
        <f>IF(C363="","",F362-D363)</f>
        <v/>
      </c>
    </row>
    <row r="364">
      <c r="B364" s="33" t="n">
        <v>358</v>
      </c>
      <c r="C364" s="34">
        <f>IF(358&gt;Calculator!C16*12,"",Calculator!F9)</f>
        <v/>
      </c>
      <c r="D364" s="34">
        <f>IF(C364="","",C364-E364)</f>
        <v/>
      </c>
      <c r="E364" s="34">
        <f>IF(C364="","",ROUND(F363*Calculator!C15/12,2))</f>
        <v/>
      </c>
      <c r="F364" s="34">
        <f>IF(C364="","",F363-D364)</f>
        <v/>
      </c>
    </row>
    <row r="365">
      <c r="B365" s="31" t="n">
        <v>359</v>
      </c>
      <c r="C365" s="32">
        <f>IF(359&gt;Calculator!C16*12,"",Calculator!F9)</f>
        <v/>
      </c>
      <c r="D365" s="32">
        <f>IF(C365="","",C365-E365)</f>
        <v/>
      </c>
      <c r="E365" s="32">
        <f>IF(C365="","",ROUND(F364*Calculator!C15/12,2))</f>
        <v/>
      </c>
      <c r="F365" s="32">
        <f>IF(C365="","",F364-D365)</f>
        <v/>
      </c>
    </row>
    <row r="366">
      <c r="B366" s="33" t="n">
        <v>360</v>
      </c>
      <c r="C366" s="34">
        <f>IF(360&gt;Calculator!C16*12,"",Calculator!F9)</f>
        <v/>
      </c>
      <c r="D366" s="34">
        <f>IF(C366="","",C366-E366)</f>
        <v/>
      </c>
      <c r="E366" s="34">
        <f>IF(C366="","",ROUND(F365*Calculator!C15/12,2))</f>
        <v/>
      </c>
      <c r="F366" s="34">
        <f>IF(C366="","",F365-D366)</f>
        <v/>
      </c>
    </row>
  </sheetData>
  <mergeCells count="2">
    <mergeCell ref="B2:F2"/>
    <mergeCell ref="B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2026-06-24T01:10:17Z</dcterms:created>
  <dcterms:modified xmlns:dcterms="http://purl.org/dc/terms/" xmlns:xsi="http://www.w3.org/2001/XMLSchema-instance" xsi:type="dcterms:W3CDTF">2026-06-24T01:10:17Z</dcterms:modified>
</cp:coreProperties>
</file>